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60" windowWidth="11355" windowHeight="5895" firstSheet="3" activeTab="6"/>
  </bookViews>
  <sheets>
    <sheet name="Summary of Internal Loans" sheetId="7" r:id="rId1"/>
    <sheet name="Market_Loan-Bearing" sheetId="21" r:id="rId2"/>
    <sheet name="Market_Loan-Not Bearing" sheetId="8" r:id="rId3"/>
    <sheet name="Zamindari Bond" sheetId="3" r:id="rId4"/>
    <sheet name="Summary-SamllSaving(NSSF)" sheetId="4" r:id="rId5"/>
    <sheet name="Final Yearwise Summ of NABARD" sheetId="9" r:id="rId6"/>
    <sheet name="Final Power Bond" sheetId="6" r:id="rId7"/>
  </sheets>
  <definedNames>
    <definedName name="_xlnm._FilterDatabase" localSheetId="6" hidden="1">'Final Power Bond'!#REF!</definedName>
    <definedName name="_xlnm._FilterDatabase" localSheetId="5" hidden="1">'Final Yearwise Summ of NABARD'!#REF!</definedName>
    <definedName name="_xlnm._FilterDatabase" localSheetId="0" hidden="1">'Summary of Internal Loans'!#REF!</definedName>
    <definedName name="_xlnm._FilterDatabase" localSheetId="4" hidden="1">'Summary-SamllSaving(NSSF)'!#REF!</definedName>
    <definedName name="_xlnm.Print_Area" localSheetId="6">'Final Power Bond'!$A$1:$O$15</definedName>
    <definedName name="_xlnm.Print_Area" localSheetId="5">'Final Yearwise Summ of NABARD'!$A$1:$AC$1296</definedName>
    <definedName name="_xlnm.Print_Area" localSheetId="2">'Market_Loan-Not Bearing'!$A$1:$P$21</definedName>
    <definedName name="_xlnm.Print_Area" localSheetId="0">'Summary of Internal Loans'!$A$1:$H$36</definedName>
    <definedName name="_xlnm.Print_Area" localSheetId="3">'Zamindari Bond'!$A$1:$L$6</definedName>
    <definedName name="_xlnm.Print_Titles" localSheetId="6">'Final Power Bond'!$A:$F,'Final Power Bond'!$1:$4</definedName>
    <definedName name="_xlnm.Print_Titles" localSheetId="5">'Final Yearwise Summ of NABARD'!$1:$4</definedName>
    <definedName name="_xlnm.Print_Titles" localSheetId="1">'Market_Loan-Bearing'!$A:$I,'Market_Loan-Bearing'!$2:$4</definedName>
    <definedName name="_xlnm.Print_Titles" localSheetId="0">'Summary of Internal Loans'!$1:$4</definedName>
  </definedNames>
  <calcPr calcId="144525"/>
</workbook>
</file>

<file path=xl/calcChain.xml><?xml version="1.0" encoding="utf-8"?>
<calcChain xmlns="http://schemas.openxmlformats.org/spreadsheetml/2006/main">
  <c r="R54" i="21" l="1"/>
  <c r="R55" i="21"/>
  <c r="H21" i="7"/>
  <c r="G21" i="7"/>
  <c r="F21" i="7"/>
  <c r="E21" i="7"/>
  <c r="D21" i="7" s="1"/>
  <c r="H5" i="3"/>
  <c r="S1026" i="9"/>
  <c r="AC1026" i="9" s="1"/>
  <c r="S1025" i="9"/>
  <c r="AC1025" i="9" s="1"/>
  <c r="S1024" i="9"/>
  <c r="AC1024" i="9" s="1"/>
  <c r="S1023" i="9"/>
  <c r="AC1023" i="9" s="1"/>
  <c r="S1022" i="9"/>
  <c r="AC1022" i="9" s="1"/>
  <c r="S1021" i="9"/>
  <c r="AC1021" i="9" s="1"/>
  <c r="S1020" i="9"/>
  <c r="AC1020" i="9" s="1"/>
  <c r="S1019" i="9"/>
  <c r="AC1019" i="9" s="1"/>
  <c r="S1018" i="9"/>
  <c r="AC1018" i="9" s="1"/>
  <c r="S902" i="9"/>
  <c r="AC902" i="9" s="1"/>
  <c r="S901" i="9"/>
  <c r="AC901" i="9" s="1"/>
  <c r="S900" i="9"/>
  <c r="AC900" i="9" s="1"/>
  <c r="S899" i="9"/>
  <c r="AC899" i="9" s="1"/>
  <c r="S898" i="9"/>
  <c r="AC898" i="9" s="1"/>
  <c r="S897" i="9"/>
  <c r="AC897" i="9" s="1"/>
  <c r="S896" i="9"/>
  <c r="AC896" i="9" s="1"/>
  <c r="S895" i="9"/>
  <c r="AC895" i="9" s="1"/>
  <c r="S894" i="9"/>
  <c r="AC894" i="9" s="1"/>
  <c r="S893" i="9"/>
  <c r="AC893" i="9" s="1"/>
  <c r="S892" i="9"/>
  <c r="AC892" i="9" s="1"/>
  <c r="S891" i="9"/>
  <c r="AC891" i="9" s="1"/>
  <c r="S890" i="9"/>
  <c r="AC890" i="9" s="1"/>
  <c r="S889" i="9"/>
  <c r="AC889" i="9" s="1"/>
  <c r="S888" i="9"/>
  <c r="AC888" i="9" s="1"/>
  <c r="S887" i="9"/>
  <c r="AC887" i="9" s="1"/>
  <c r="S886" i="9"/>
  <c r="AC886" i="9" s="1"/>
  <c r="S885" i="9"/>
  <c r="AC885" i="9" s="1"/>
  <c r="S884" i="9"/>
  <c r="AC884" i="9" s="1"/>
  <c r="S883" i="9"/>
  <c r="AC883" i="9" s="1"/>
  <c r="S882" i="9"/>
  <c r="AC882" i="9" s="1"/>
  <c r="S881" i="9"/>
  <c r="AC881" i="9" s="1"/>
  <c r="S880" i="9"/>
  <c r="AC880" i="9" s="1"/>
  <c r="S879" i="9"/>
  <c r="AC879" i="9" s="1"/>
  <c r="S878" i="9"/>
  <c r="AC878" i="9" s="1"/>
  <c r="S877" i="9"/>
  <c r="AC877" i="9" s="1"/>
  <c r="S876" i="9"/>
  <c r="AC876" i="9" s="1"/>
  <c r="S875" i="9"/>
  <c r="AC875" i="9" s="1"/>
  <c r="S874" i="9"/>
  <c r="AC874" i="9" s="1"/>
  <c r="S873" i="9"/>
  <c r="AC873" i="9" s="1"/>
  <c r="S872" i="9"/>
  <c r="AC872" i="9" s="1"/>
  <c r="S871" i="9"/>
  <c r="AC871" i="9" s="1"/>
  <c r="S749" i="9"/>
  <c r="AC749" i="9" s="1"/>
  <c r="S748" i="9"/>
  <c r="AC748" i="9" s="1"/>
  <c r="S747" i="9"/>
  <c r="AC747" i="9" s="1"/>
  <c r="S746" i="9"/>
  <c r="AC746" i="9" s="1"/>
  <c r="S745" i="9"/>
  <c r="AC745" i="9" s="1"/>
  <c r="S744" i="9"/>
  <c r="AC744" i="9" s="1"/>
  <c r="S743" i="9"/>
  <c r="AC743" i="9" s="1"/>
  <c r="S742" i="9"/>
  <c r="AC742" i="9" s="1"/>
  <c r="S741" i="9"/>
  <c r="AC741" i="9" s="1"/>
  <c r="S740" i="9"/>
  <c r="AC740" i="9" s="1"/>
  <c r="S739" i="9"/>
  <c r="AC739" i="9" s="1"/>
  <c r="S738" i="9"/>
  <c r="AC738" i="9" s="1"/>
  <c r="S737" i="9"/>
  <c r="AC737" i="9" s="1"/>
  <c r="S736" i="9"/>
  <c r="AC736" i="9" s="1"/>
  <c r="S735" i="9"/>
  <c r="AC735" i="9" s="1"/>
  <c r="S734" i="9"/>
  <c r="AC734" i="9" s="1"/>
  <c r="S733" i="9"/>
  <c r="AC733" i="9" s="1"/>
  <c r="S732" i="9"/>
  <c r="AC732" i="9" s="1"/>
  <c r="S731" i="9"/>
  <c r="AC731" i="9" s="1"/>
  <c r="S730" i="9"/>
  <c r="AC730" i="9" s="1"/>
  <c r="S729" i="9"/>
  <c r="AC729" i="9" s="1"/>
  <c r="S728" i="9"/>
  <c r="AC728" i="9" s="1"/>
  <c r="S727" i="9"/>
  <c r="AC727" i="9" s="1"/>
  <c r="S726" i="9"/>
  <c r="AC726" i="9" s="1"/>
  <c r="S725" i="9"/>
  <c r="AC725" i="9" s="1"/>
  <c r="S724" i="9"/>
  <c r="AC724" i="9" s="1"/>
  <c r="S723" i="9"/>
  <c r="AC723" i="9" s="1"/>
  <c r="S722" i="9"/>
  <c r="AC722" i="9" s="1"/>
  <c r="S721" i="9"/>
  <c r="AC721" i="9" s="1"/>
  <c r="S720" i="9"/>
  <c r="AC720" i="9" s="1"/>
  <c r="S719" i="9"/>
  <c r="AC719" i="9" s="1"/>
  <c r="S718" i="9"/>
  <c r="AC718" i="9" s="1"/>
  <c r="S717" i="9"/>
  <c r="AC717" i="9" s="1"/>
  <c r="S716" i="9"/>
  <c r="AC716" i="9" s="1"/>
  <c r="S715" i="9"/>
  <c r="AC715" i="9" s="1"/>
  <c r="S714" i="9"/>
  <c r="AC714" i="9" s="1"/>
  <c r="S713" i="9"/>
  <c r="AC713" i="9" s="1"/>
  <c r="S712" i="9"/>
  <c r="AC712" i="9" s="1"/>
  <c r="S711" i="9"/>
  <c r="AC711" i="9" s="1"/>
  <c r="S710" i="9"/>
  <c r="AC710" i="9" s="1"/>
  <c r="S709" i="9"/>
  <c r="AC709" i="9" s="1"/>
  <c r="S708" i="9"/>
  <c r="AC708" i="9" s="1"/>
  <c r="S707" i="9"/>
  <c r="AC707" i="9" s="1"/>
  <c r="S706" i="9"/>
  <c r="AC706" i="9" s="1"/>
  <c r="S705" i="9"/>
  <c r="AC705" i="9" s="1"/>
  <c r="S704" i="9"/>
  <c r="AC704" i="9" s="1"/>
  <c r="S703" i="9"/>
  <c r="AC703" i="9" s="1"/>
  <c r="S702" i="9"/>
  <c r="AC702" i="9" s="1"/>
  <c r="S701" i="9"/>
  <c r="AC701" i="9" s="1"/>
  <c r="S700" i="9"/>
  <c r="AC700" i="9" s="1"/>
  <c r="S699" i="9"/>
  <c r="AC699" i="9" s="1"/>
  <c r="S698" i="9"/>
  <c r="AC698" i="9" s="1"/>
  <c r="S600" i="9"/>
  <c r="AC600" i="9" s="1"/>
  <c r="S504" i="9"/>
  <c r="AC504" i="9" s="1"/>
  <c r="S503" i="9"/>
  <c r="AC503" i="9" s="1"/>
  <c r="S502" i="9"/>
  <c r="AC502" i="9" s="1"/>
  <c r="S501" i="9"/>
  <c r="AC501" i="9" s="1"/>
  <c r="S500" i="9"/>
  <c r="AC500" i="9" s="1"/>
  <c r="S499" i="9"/>
  <c r="AC499" i="9" s="1"/>
  <c r="S498" i="9"/>
  <c r="AC498" i="9" s="1"/>
  <c r="S497" i="9"/>
  <c r="AC497" i="9" s="1"/>
  <c r="S496" i="9"/>
  <c r="AC496" i="9" s="1"/>
  <c r="S495" i="9"/>
  <c r="AC495" i="9" s="1"/>
  <c r="S494" i="9"/>
  <c r="AC494" i="9" s="1"/>
  <c r="S493" i="9"/>
  <c r="AC493" i="9" s="1"/>
  <c r="S492" i="9"/>
  <c r="AC492" i="9" s="1"/>
  <c r="S491" i="9"/>
  <c r="AC491" i="9" s="1"/>
  <c r="S490" i="9"/>
  <c r="AC490" i="9" s="1"/>
  <c r="S489" i="9"/>
  <c r="AC489" i="9" s="1"/>
  <c r="S488" i="9"/>
  <c r="AC488" i="9" s="1"/>
  <c r="S487" i="9"/>
  <c r="AC487" i="9" s="1"/>
  <c r="S486" i="9"/>
  <c r="AC486" i="9" s="1"/>
  <c r="S485" i="9"/>
  <c r="AC485" i="9" s="1"/>
  <c r="S484" i="9"/>
  <c r="AC484" i="9" s="1"/>
  <c r="S483" i="9"/>
  <c r="AC483" i="9" s="1"/>
  <c r="S482" i="9"/>
  <c r="AC482" i="9" s="1"/>
  <c r="S481" i="9"/>
  <c r="AC481" i="9" s="1"/>
  <c r="S480" i="9"/>
  <c r="AC480" i="9" s="1"/>
  <c r="S479" i="9"/>
  <c r="AC479" i="9" s="1"/>
  <c r="S478" i="9"/>
  <c r="AC478" i="9" s="1"/>
  <c r="S477" i="9"/>
  <c r="AC477" i="9" s="1"/>
  <c r="S476" i="9"/>
  <c r="AC476" i="9" s="1"/>
  <c r="S347" i="9"/>
  <c r="AC347" i="9" s="1"/>
  <c r="S346" i="9"/>
  <c r="AC346" i="9" s="1"/>
  <c r="S345" i="9"/>
  <c r="AC345" i="9" s="1"/>
  <c r="S344" i="9"/>
  <c r="AC344" i="9" s="1"/>
  <c r="S343" i="9"/>
  <c r="AC343" i="9" s="1"/>
  <c r="S342" i="9"/>
  <c r="AC342" i="9" s="1"/>
  <c r="S341" i="9"/>
  <c r="AC341" i="9" s="1"/>
  <c r="S340" i="9"/>
  <c r="AC340" i="9" s="1"/>
  <c r="S339" i="9"/>
  <c r="AC339" i="9" s="1"/>
  <c r="S338" i="9"/>
  <c r="AC338" i="9" s="1"/>
  <c r="S337" i="9"/>
  <c r="AC337" i="9" s="1"/>
  <c r="S134" i="9"/>
  <c r="AC134" i="9" s="1"/>
  <c r="S88" i="9"/>
  <c r="AC88" i="9" s="1"/>
  <c r="S1281" i="9"/>
  <c r="S1280" i="9"/>
  <c r="S1167" i="9"/>
  <c r="AA1016" i="9"/>
  <c r="S1016" i="9"/>
  <c r="S363" i="9"/>
  <c r="S1279" i="9"/>
  <c r="S1278" i="9"/>
  <c r="S1166" i="9"/>
  <c r="AC1166" i="9" s="1"/>
  <c r="S1165" i="9"/>
  <c r="AC1165" i="9" s="1"/>
  <c r="AB1166" i="9"/>
  <c r="AB1165" i="9"/>
  <c r="AA1013" i="9"/>
  <c r="AA1014" i="9"/>
  <c r="AA1015" i="9"/>
  <c r="S1015" i="9"/>
  <c r="S1014" i="9"/>
  <c r="S1013" i="9"/>
  <c r="S1277" i="9"/>
  <c r="S1276" i="9"/>
  <c r="S1275" i="9"/>
  <c r="S1274" i="9"/>
  <c r="S1164" i="9"/>
  <c r="S1163" i="9"/>
  <c r="S1273" i="9"/>
  <c r="S1162" i="9"/>
  <c r="S1288" i="9"/>
  <c r="S1161" i="9"/>
  <c r="S1272" i="9"/>
  <c r="S1160" i="9"/>
  <c r="S1159" i="9"/>
  <c r="AA853" i="9"/>
  <c r="AA854" i="9"/>
  <c r="S854" i="9"/>
  <c r="S853" i="9"/>
  <c r="S1271" i="9"/>
  <c r="S1270" i="9"/>
  <c r="S1158" i="9"/>
  <c r="AA1012" i="9"/>
  <c r="S1012" i="9"/>
  <c r="S533" i="9"/>
  <c r="S1289" i="9"/>
  <c r="S1287" i="9"/>
  <c r="S1286" i="9"/>
  <c r="S1285" i="9"/>
  <c r="S1284" i="9"/>
  <c r="S1269" i="9"/>
  <c r="S1268" i="9"/>
  <c r="S1157" i="9"/>
  <c r="S1156" i="9"/>
  <c r="S1155" i="9"/>
  <c r="S1154" i="9"/>
  <c r="S1153" i="9"/>
  <c r="S1011" i="9"/>
  <c r="S1010" i="9"/>
  <c r="AA1010" i="9"/>
  <c r="AA1011" i="9"/>
  <c r="AA852" i="9"/>
  <c r="S852" i="9"/>
  <c r="S1267" i="9"/>
  <c r="S1266" i="9"/>
  <c r="S1152" i="9"/>
  <c r="AA1290" i="9"/>
  <c r="Z1290" i="9"/>
  <c r="Y1290" i="9"/>
  <c r="X1290" i="9"/>
  <c r="W1290" i="9"/>
  <c r="V1290" i="9"/>
  <c r="U1290" i="9"/>
  <c r="T1290" i="9"/>
  <c r="R1290" i="9"/>
  <c r="Q1290" i="9"/>
  <c r="P1290" i="9"/>
  <c r="O1290" i="9"/>
  <c r="N1290" i="9"/>
  <c r="M1290" i="9"/>
  <c r="D1290" i="9"/>
  <c r="S1283" i="9"/>
  <c r="L1290" i="9"/>
  <c r="K1290" i="9"/>
  <c r="J1290" i="9"/>
  <c r="I1290" i="9"/>
  <c r="G1290" i="9"/>
  <c r="F1290" i="9"/>
  <c r="E1290" i="9"/>
  <c r="S851" i="9"/>
  <c r="AA851" i="9"/>
  <c r="S1265" i="9"/>
  <c r="S1151" i="9"/>
  <c r="S1150" i="9"/>
  <c r="S1149" i="9"/>
  <c r="AA1009" i="9"/>
  <c r="S1009" i="9"/>
  <c r="S1264" i="9"/>
  <c r="S1263" i="9"/>
  <c r="S1262" i="9"/>
  <c r="S1261" i="9"/>
  <c r="S1148" i="9"/>
  <c r="S1147" i="9"/>
  <c r="S1146" i="9"/>
  <c r="S1008" i="9"/>
  <c r="S1007" i="9"/>
  <c r="AA1007" i="9"/>
  <c r="AA1008" i="9"/>
  <c r="AA1006" i="9"/>
  <c r="S1006" i="9"/>
  <c r="AA849" i="9"/>
  <c r="AA850" i="9"/>
  <c r="S850" i="9"/>
  <c r="S849" i="9"/>
  <c r="S1260" i="9"/>
  <c r="S1259" i="9"/>
  <c r="S1145" i="9"/>
  <c r="S1258" i="9"/>
  <c r="S1144" i="9"/>
  <c r="S1143" i="9"/>
  <c r="S1142" i="9"/>
  <c r="S1005" i="9"/>
  <c r="S1004" i="9"/>
  <c r="AA1004" i="9"/>
  <c r="AA1005" i="9"/>
  <c r="AA848" i="9"/>
  <c r="S848" i="9"/>
  <c r="S1257" i="9"/>
  <c r="S1256" i="9"/>
  <c r="S1141" i="9"/>
  <c r="S1140" i="9"/>
  <c r="S1139" i="9"/>
  <c r="S1138" i="9"/>
  <c r="S1137" i="9"/>
  <c r="AA1003" i="9"/>
  <c r="S1003" i="9"/>
  <c r="S847" i="9"/>
  <c r="AA847" i="9"/>
  <c r="AA1002" i="9"/>
  <c r="S1002" i="9"/>
  <c r="S1255" i="9"/>
  <c r="S1136" i="9"/>
  <c r="AA1000" i="9"/>
  <c r="AA1001" i="9"/>
  <c r="S1000" i="9"/>
  <c r="AB531" i="9"/>
  <c r="S532" i="9"/>
  <c r="S362" i="9"/>
  <c r="S1254" i="9"/>
  <c r="S1253" i="9"/>
  <c r="S1252" i="9"/>
  <c r="S1251" i="9"/>
  <c r="S1135" i="9"/>
  <c r="S1134" i="9"/>
  <c r="AA846" i="9"/>
  <c r="S846" i="9"/>
  <c r="S1250" i="9"/>
  <c r="S1249" i="9"/>
  <c r="S1248" i="9"/>
  <c r="S1133" i="9"/>
  <c r="S1132" i="9"/>
  <c r="AA997" i="9"/>
  <c r="AA998" i="9"/>
  <c r="AA999" i="9"/>
  <c r="S998" i="9"/>
  <c r="S997" i="9"/>
  <c r="AA845" i="9"/>
  <c r="S845" i="9"/>
  <c r="S1247" i="9"/>
  <c r="S1246" i="9"/>
  <c r="S1245" i="9"/>
  <c r="S1244" i="9"/>
  <c r="S1243" i="9"/>
  <c r="S1242" i="9"/>
  <c r="S1241" i="9"/>
  <c r="S1131" i="9"/>
  <c r="S1130" i="9"/>
  <c r="S1129" i="9"/>
  <c r="S995" i="9"/>
  <c r="S994" i="9"/>
  <c r="S993" i="9"/>
  <c r="S992" i="9"/>
  <c r="S991" i="9"/>
  <c r="AA991" i="9"/>
  <c r="AA992" i="9"/>
  <c r="AA993" i="9"/>
  <c r="AA994" i="9"/>
  <c r="AA995" i="9"/>
  <c r="AA844" i="9"/>
  <c r="S844" i="9"/>
  <c r="S1240" i="9"/>
  <c r="S1239" i="9"/>
  <c r="S1238" i="9"/>
  <c r="S1128" i="9"/>
  <c r="S843" i="9"/>
  <c r="AA843" i="9"/>
  <c r="S1237" i="9"/>
  <c r="S1236" i="9"/>
  <c r="S1127" i="9"/>
  <c r="S1126" i="9"/>
  <c r="S1125" i="9"/>
  <c r="S1124" i="9"/>
  <c r="S842" i="9"/>
  <c r="AA841" i="9"/>
  <c r="AA842" i="9"/>
  <c r="S841" i="9"/>
  <c r="S1235" i="9"/>
  <c r="S1123" i="9"/>
  <c r="AA839" i="9"/>
  <c r="AA840" i="9"/>
  <c r="S840" i="9"/>
  <c r="S839" i="9"/>
  <c r="S1234" i="9"/>
  <c r="S1122" i="9"/>
  <c r="S1121" i="9"/>
  <c r="S1120" i="9"/>
  <c r="S1119" i="9"/>
  <c r="S1118" i="9"/>
  <c r="S990" i="9"/>
  <c r="S989" i="9"/>
  <c r="S988" i="9"/>
  <c r="S987" i="9"/>
  <c r="AA987" i="9"/>
  <c r="AA988" i="9"/>
  <c r="AA989" i="9"/>
  <c r="AA990" i="9"/>
  <c r="S838" i="9"/>
  <c r="AA838" i="9"/>
  <c r="S1233" i="9"/>
  <c r="S1232" i="9"/>
  <c r="S1231" i="9"/>
  <c r="S1230" i="9"/>
  <c r="S1229" i="9"/>
  <c r="S1228" i="9"/>
  <c r="S1117" i="9"/>
  <c r="S1116" i="9"/>
  <c r="AA836" i="9"/>
  <c r="AA837" i="9"/>
  <c r="S837" i="9"/>
  <c r="S836" i="9"/>
  <c r="S1227" i="9"/>
  <c r="S1226" i="9"/>
  <c r="S1225" i="9"/>
  <c r="S1224" i="9"/>
  <c r="S1223" i="9"/>
  <c r="S835" i="9"/>
  <c r="S834" i="9"/>
  <c r="S833" i="9"/>
  <c r="AA833" i="9"/>
  <c r="AA834" i="9"/>
  <c r="AA835" i="9"/>
  <c r="S1222" i="9"/>
  <c r="S1115" i="9"/>
  <c r="S1221" i="9"/>
  <c r="S1220" i="9"/>
  <c r="S1114" i="9"/>
  <c r="S1113" i="9"/>
  <c r="S1112" i="9"/>
  <c r="S1111" i="9"/>
  <c r="S1001" i="9"/>
  <c r="S999" i="9"/>
  <c r="S996" i="9"/>
  <c r="S986" i="9"/>
  <c r="S985" i="9"/>
  <c r="AC985" i="9" s="1"/>
  <c r="AA831" i="9"/>
  <c r="AA832" i="9"/>
  <c r="S1219" i="9"/>
  <c r="S1218" i="9"/>
  <c r="S1217" i="9"/>
  <c r="S1216" i="9"/>
  <c r="S1215" i="9"/>
  <c r="S1214" i="9"/>
  <c r="S1110" i="9"/>
  <c r="S1109" i="9"/>
  <c r="S1108" i="9"/>
  <c r="S1107" i="9"/>
  <c r="S1106" i="9"/>
  <c r="AB985" i="9"/>
  <c r="S984" i="9"/>
  <c r="S983" i="9"/>
  <c r="S982" i="9"/>
  <c r="AA829" i="9"/>
  <c r="AA830" i="9"/>
  <c r="S832" i="9"/>
  <c r="S831" i="9"/>
  <c r="S830" i="9"/>
  <c r="S829" i="9"/>
  <c r="S828" i="9"/>
  <c r="S827" i="9"/>
  <c r="N969" i="9"/>
  <c r="AA969" i="9" s="1"/>
  <c r="S531" i="9"/>
  <c r="AC531" i="9" s="1"/>
  <c r="N697" i="9"/>
  <c r="S697" i="9" s="1"/>
  <c r="AC697" i="9" s="1"/>
  <c r="N696" i="9"/>
  <c r="S696" i="9" s="1"/>
  <c r="AC696" i="9" s="1"/>
  <c r="N695" i="9"/>
  <c r="S695" i="9" s="1"/>
  <c r="AC695" i="9" s="1"/>
  <c r="N694" i="9"/>
  <c r="S694" i="9" s="1"/>
  <c r="AC694" i="9" s="1"/>
  <c r="N693" i="9"/>
  <c r="S693" i="9" s="1"/>
  <c r="AC693" i="9" s="1"/>
  <c r="N692" i="9"/>
  <c r="S692" i="9" s="1"/>
  <c r="AC692" i="9" s="1"/>
  <c r="N691" i="9"/>
  <c r="S691" i="9" s="1"/>
  <c r="AC691" i="9" s="1"/>
  <c r="N690" i="9"/>
  <c r="S690" i="9" s="1"/>
  <c r="AC690" i="9" s="1"/>
  <c r="N689" i="9"/>
  <c r="S689" i="9" s="1"/>
  <c r="AC689" i="9" s="1"/>
  <c r="N688" i="9"/>
  <c r="S688" i="9" s="1"/>
  <c r="AC688" i="9" s="1"/>
  <c r="N687" i="9"/>
  <c r="S687" i="9" s="1"/>
  <c r="AC687" i="9" s="1"/>
  <c r="N686" i="9"/>
  <c r="S686" i="9" s="1"/>
  <c r="AC686" i="9" s="1"/>
  <c r="N685" i="9"/>
  <c r="S685" i="9" s="1"/>
  <c r="AC685" i="9" s="1"/>
  <c r="N684" i="9"/>
  <c r="S684" i="9" s="1"/>
  <c r="AC684" i="9" s="1"/>
  <c r="N683" i="9"/>
  <c r="S683" i="9" s="1"/>
  <c r="AC683" i="9" s="1"/>
  <c r="N682" i="9"/>
  <c r="S682" i="9" s="1"/>
  <c r="AC682" i="9" s="1"/>
  <c r="N681" i="9"/>
  <c r="S681" i="9" s="1"/>
  <c r="AC681" i="9" s="1"/>
  <c r="N680" i="9"/>
  <c r="S680" i="9" s="1"/>
  <c r="AC680" i="9" s="1"/>
  <c r="N679" i="9"/>
  <c r="S679" i="9" s="1"/>
  <c r="AC679" i="9" s="1"/>
  <c r="N678" i="9"/>
  <c r="S678" i="9" s="1"/>
  <c r="AC678" i="9" s="1"/>
  <c r="N677" i="9"/>
  <c r="S677" i="9" s="1"/>
  <c r="AC677" i="9" s="1"/>
  <c r="N676" i="9"/>
  <c r="S676" i="9" s="1"/>
  <c r="AC676" i="9" s="1"/>
  <c r="N675" i="9"/>
  <c r="S675" i="9" s="1"/>
  <c r="AC675" i="9" s="1"/>
  <c r="N674" i="9"/>
  <c r="S674" i="9" s="1"/>
  <c r="AC674" i="9" s="1"/>
  <c r="N673" i="9"/>
  <c r="S673" i="9" s="1"/>
  <c r="AC673" i="9" s="1"/>
  <c r="N672" i="9"/>
  <c r="S672" i="9" s="1"/>
  <c r="AC672" i="9" s="1"/>
  <c r="N671" i="9"/>
  <c r="S671" i="9" s="1"/>
  <c r="AC671" i="9" s="1"/>
  <c r="N670" i="9"/>
  <c r="S670" i="9" s="1"/>
  <c r="AC670" i="9" s="1"/>
  <c r="N669" i="9"/>
  <c r="S669" i="9" s="1"/>
  <c r="AC669" i="9" s="1"/>
  <c r="N668" i="9"/>
  <c r="S668" i="9" s="1"/>
  <c r="AC668" i="9" s="1"/>
  <c r="N667" i="9"/>
  <c r="S667" i="9" s="1"/>
  <c r="AC667" i="9" s="1"/>
  <c r="N666" i="9"/>
  <c r="S666" i="9" s="1"/>
  <c r="AC666" i="9" s="1"/>
  <c r="N750" i="9"/>
  <c r="S750" i="9" s="1"/>
  <c r="AC750" i="9" s="1"/>
  <c r="N751" i="9"/>
  <c r="S751" i="9" s="1"/>
  <c r="AC751" i="9" s="1"/>
  <c r="N752" i="9"/>
  <c r="S752" i="9" s="1"/>
  <c r="AC752" i="9" s="1"/>
  <c r="N753" i="9"/>
  <c r="S753" i="9" s="1"/>
  <c r="AC753" i="9" s="1"/>
  <c r="N754" i="9"/>
  <c r="S754" i="9" s="1"/>
  <c r="AC754" i="9" s="1"/>
  <c r="N755" i="9"/>
  <c r="S755" i="9" s="1"/>
  <c r="AC755" i="9" s="1"/>
  <c r="N756" i="9"/>
  <c r="S756" i="9" s="1"/>
  <c r="AC756" i="9" s="1"/>
  <c r="N757" i="9"/>
  <c r="S757" i="9" s="1"/>
  <c r="AC757" i="9" s="1"/>
  <c r="N665" i="9"/>
  <c r="S665" i="9" s="1"/>
  <c r="AC665" i="9" s="1"/>
  <c r="N664" i="9"/>
  <c r="S664" i="9" s="1"/>
  <c r="AC664" i="9" s="1"/>
  <c r="N663" i="9"/>
  <c r="S663" i="9" s="1"/>
  <c r="AC663" i="9" s="1"/>
  <c r="N758" i="9"/>
  <c r="S758" i="9" s="1"/>
  <c r="AC758" i="9" s="1"/>
  <c r="N759" i="9"/>
  <c r="S759" i="9" s="1"/>
  <c r="AC759" i="9" s="1"/>
  <c r="N760" i="9"/>
  <c r="S760" i="9" s="1"/>
  <c r="AC760" i="9" s="1"/>
  <c r="N761" i="9"/>
  <c r="S761" i="9" s="1"/>
  <c r="AC761" i="9" s="1"/>
  <c r="N762" i="9"/>
  <c r="S762" i="9" s="1"/>
  <c r="AC762" i="9" s="1"/>
  <c r="N763" i="9"/>
  <c r="S763" i="9" s="1"/>
  <c r="AC763" i="9" s="1"/>
  <c r="N764" i="9"/>
  <c r="S764" i="9" s="1"/>
  <c r="AC764" i="9" s="1"/>
  <c r="N765" i="9"/>
  <c r="S765" i="9" s="1"/>
  <c r="AC765" i="9" s="1"/>
  <c r="N766" i="9"/>
  <c r="S766" i="9" s="1"/>
  <c r="AC766" i="9" s="1"/>
  <c r="N767" i="9"/>
  <c r="S767" i="9" s="1"/>
  <c r="AC767" i="9" s="1"/>
  <c r="N768" i="9"/>
  <c r="S768" i="9" s="1"/>
  <c r="AC768" i="9" s="1"/>
  <c r="N769" i="9"/>
  <c r="S769" i="9" s="1"/>
  <c r="AC769" i="9" s="1"/>
  <c r="N770" i="9"/>
  <c r="S770" i="9" s="1"/>
  <c r="AC770" i="9" s="1"/>
  <c r="N771" i="9"/>
  <c r="S771" i="9" s="1"/>
  <c r="AC771" i="9" s="1"/>
  <c r="N772" i="9"/>
  <c r="S772" i="9" s="1"/>
  <c r="AC772" i="9" s="1"/>
  <c r="N773" i="9"/>
  <c r="S773" i="9" s="1"/>
  <c r="AC773" i="9" s="1"/>
  <c r="N774" i="9"/>
  <c r="S774" i="9" s="1"/>
  <c r="AC774" i="9" s="1"/>
  <c r="N775" i="9"/>
  <c r="S775" i="9" s="1"/>
  <c r="AC775" i="9" s="1"/>
  <c r="N776" i="9"/>
  <c r="S776" i="9" s="1"/>
  <c r="AC776" i="9" s="1"/>
  <c r="N777" i="9"/>
  <c r="S777" i="9" s="1"/>
  <c r="AC777" i="9" s="1"/>
  <c r="N778" i="9"/>
  <c r="S778" i="9" s="1"/>
  <c r="AC778" i="9" s="1"/>
  <c r="N779" i="9"/>
  <c r="S779" i="9" s="1"/>
  <c r="AC779" i="9" s="1"/>
  <c r="N780" i="9"/>
  <c r="S780" i="9" s="1"/>
  <c r="AC780" i="9" s="1"/>
  <c r="N781" i="9"/>
  <c r="S781" i="9" s="1"/>
  <c r="AC781" i="9" s="1"/>
  <c r="N782" i="9"/>
  <c r="S782" i="9" s="1"/>
  <c r="AC782" i="9" s="1"/>
  <c r="N783" i="9"/>
  <c r="S783" i="9" s="1"/>
  <c r="AC783" i="9" s="1"/>
  <c r="N784" i="9"/>
  <c r="S784" i="9" s="1"/>
  <c r="AC784" i="9" s="1"/>
  <c r="N785" i="9"/>
  <c r="S785" i="9" s="1"/>
  <c r="AC785" i="9" s="1"/>
  <c r="N786" i="9"/>
  <c r="S786" i="9" s="1"/>
  <c r="AC786" i="9" s="1"/>
  <c r="N787" i="9"/>
  <c r="S787" i="9" s="1"/>
  <c r="AC787" i="9" s="1"/>
  <c r="N788" i="9"/>
  <c r="S788" i="9" s="1"/>
  <c r="AC788" i="9" s="1"/>
  <c r="N789" i="9"/>
  <c r="S789" i="9" s="1"/>
  <c r="AC789" i="9" s="1"/>
  <c r="N790" i="9"/>
  <c r="S790" i="9" s="1"/>
  <c r="AC790" i="9" s="1"/>
  <c r="N791" i="9"/>
  <c r="S791" i="9" s="1"/>
  <c r="AC791" i="9" s="1"/>
  <c r="N792" i="9"/>
  <c r="S792" i="9" s="1"/>
  <c r="AC792" i="9" s="1"/>
  <c r="N793" i="9"/>
  <c r="S793" i="9" s="1"/>
  <c r="AC793" i="9" s="1"/>
  <c r="N794" i="9"/>
  <c r="S794" i="9" s="1"/>
  <c r="AC794" i="9" s="1"/>
  <c r="N795" i="9"/>
  <c r="S795" i="9" s="1"/>
  <c r="AC795" i="9" s="1"/>
  <c r="N796" i="9"/>
  <c r="S796" i="9" s="1"/>
  <c r="AC796" i="9" s="1"/>
  <c r="N797" i="9"/>
  <c r="S797" i="9" s="1"/>
  <c r="AC797" i="9" s="1"/>
  <c r="N798" i="9"/>
  <c r="S798" i="9" s="1"/>
  <c r="AC798" i="9" s="1"/>
  <c r="N799" i="9"/>
  <c r="S799" i="9" s="1"/>
  <c r="AC799" i="9" s="1"/>
  <c r="N800" i="9"/>
  <c r="S800" i="9" s="1"/>
  <c r="AC800" i="9" s="1"/>
  <c r="N801" i="9"/>
  <c r="S801" i="9" s="1"/>
  <c r="AC801" i="9" s="1"/>
  <c r="N802" i="9"/>
  <c r="S802" i="9" s="1"/>
  <c r="AC802" i="9" s="1"/>
  <c r="N803" i="9"/>
  <c r="S803" i="9" s="1"/>
  <c r="AC803" i="9" s="1"/>
  <c r="N804" i="9"/>
  <c r="S804" i="9" s="1"/>
  <c r="AC804" i="9" s="1"/>
  <c r="N805" i="9"/>
  <c r="S805" i="9" s="1"/>
  <c r="AC805" i="9" s="1"/>
  <c r="N806" i="9"/>
  <c r="S806" i="9" s="1"/>
  <c r="AC806" i="9" s="1"/>
  <c r="N807" i="9"/>
  <c r="S807" i="9" s="1"/>
  <c r="AC807" i="9" s="1"/>
  <c r="N808" i="9"/>
  <c r="S808" i="9" s="1"/>
  <c r="AC808" i="9" s="1"/>
  <c r="N809" i="9"/>
  <c r="S809" i="9" s="1"/>
  <c r="AC809" i="9" s="1"/>
  <c r="N810" i="9"/>
  <c r="S810" i="9" s="1"/>
  <c r="AC810" i="9" s="1"/>
  <c r="N811" i="9"/>
  <c r="S811" i="9" s="1"/>
  <c r="AC811" i="9" s="1"/>
  <c r="N812" i="9"/>
  <c r="S812" i="9" s="1"/>
  <c r="AC812" i="9" s="1"/>
  <c r="N813" i="9"/>
  <c r="AA813" i="9" s="1"/>
  <c r="N814" i="9"/>
  <c r="S814" i="9" s="1"/>
  <c r="AC814" i="9" s="1"/>
  <c r="N815" i="9"/>
  <c r="AA815" i="9" s="1"/>
  <c r="N816" i="9"/>
  <c r="S816" i="9" s="1"/>
  <c r="AC816" i="9" s="1"/>
  <c r="N817" i="9"/>
  <c r="AA817" i="9" s="1"/>
  <c r="N818" i="9"/>
  <c r="S818" i="9" s="1"/>
  <c r="AC818" i="9" s="1"/>
  <c r="N819" i="9"/>
  <c r="S819" i="9" s="1"/>
  <c r="AC819" i="9" s="1"/>
  <c r="N820" i="9"/>
  <c r="S820" i="9" s="1"/>
  <c r="AC820" i="9" s="1"/>
  <c r="N821" i="9"/>
  <c r="S821" i="9" s="1"/>
  <c r="AC821" i="9" s="1"/>
  <c r="N822" i="9"/>
  <c r="S822" i="9" s="1"/>
  <c r="AC822" i="9" s="1"/>
  <c r="N823" i="9"/>
  <c r="S823" i="9" s="1"/>
  <c r="AC823" i="9" s="1"/>
  <c r="N824" i="9"/>
  <c r="S824" i="9" s="1"/>
  <c r="AC824" i="9" s="1"/>
  <c r="N825" i="9"/>
  <c r="S825" i="9" s="1"/>
  <c r="AC825" i="9" s="1"/>
  <c r="N826" i="9"/>
  <c r="S826" i="9" s="1"/>
  <c r="AC826" i="9" s="1"/>
  <c r="Z1282" i="9"/>
  <c r="Y1282" i="9"/>
  <c r="X1282" i="9"/>
  <c r="W1282" i="9"/>
  <c r="V1282" i="9"/>
  <c r="U1282" i="9"/>
  <c r="T1282" i="9"/>
  <c r="R1282" i="9"/>
  <c r="Q1282" i="9"/>
  <c r="P1282" i="9"/>
  <c r="O1282" i="9"/>
  <c r="M1282" i="9"/>
  <c r="D1282" i="9"/>
  <c r="Y1168" i="9"/>
  <c r="X1168" i="9"/>
  <c r="W1168" i="9"/>
  <c r="V1168" i="9"/>
  <c r="U1168" i="9"/>
  <c r="T1168" i="9"/>
  <c r="R1168" i="9"/>
  <c r="Q1168" i="9"/>
  <c r="P1168" i="9"/>
  <c r="O1168" i="9"/>
  <c r="D1168" i="9"/>
  <c r="Y1017" i="9"/>
  <c r="X1017" i="9"/>
  <c r="W1017" i="9"/>
  <c r="V1017" i="9"/>
  <c r="T1017" i="9"/>
  <c r="R1017" i="9"/>
  <c r="Q1017" i="9"/>
  <c r="P1017" i="9"/>
  <c r="O1017" i="9"/>
  <c r="D1017" i="9"/>
  <c r="Y855" i="9"/>
  <c r="X855" i="9"/>
  <c r="W855" i="9"/>
  <c r="V855" i="9"/>
  <c r="R855" i="9"/>
  <c r="Q855" i="9"/>
  <c r="P855" i="9"/>
  <c r="O855" i="9"/>
  <c r="D855" i="9"/>
  <c r="Y636" i="9"/>
  <c r="X636" i="9"/>
  <c r="W636" i="9"/>
  <c r="V636" i="9"/>
  <c r="R636" i="9"/>
  <c r="Q636" i="9"/>
  <c r="P636" i="9"/>
  <c r="O636" i="9"/>
  <c r="D636" i="9"/>
  <c r="Y534" i="9"/>
  <c r="X534" i="9"/>
  <c r="W534" i="9"/>
  <c r="V534" i="9"/>
  <c r="R534" i="9"/>
  <c r="Q534" i="9"/>
  <c r="P534" i="9"/>
  <c r="O534" i="9"/>
  <c r="D534" i="9"/>
  <c r="Y364" i="9"/>
  <c r="X364" i="9"/>
  <c r="W364" i="9"/>
  <c r="V364" i="9"/>
  <c r="R364" i="9"/>
  <c r="Q364" i="9"/>
  <c r="P364" i="9"/>
  <c r="O364" i="9"/>
  <c r="D364" i="9"/>
  <c r="D137" i="9"/>
  <c r="Y137" i="9"/>
  <c r="X137" i="9"/>
  <c r="W137" i="9"/>
  <c r="V137" i="9"/>
  <c r="Q137" i="9"/>
  <c r="P137" i="9"/>
  <c r="O137" i="9"/>
  <c r="Y89" i="9"/>
  <c r="X89" i="9"/>
  <c r="W89" i="9"/>
  <c r="V89" i="9"/>
  <c r="Q89" i="9"/>
  <c r="P89" i="9"/>
  <c r="O89" i="9"/>
  <c r="D89" i="9"/>
  <c r="Y41" i="9"/>
  <c r="X41" i="9"/>
  <c r="W41" i="9"/>
  <c r="V41" i="9"/>
  <c r="Q41" i="9"/>
  <c r="P41" i="9"/>
  <c r="O41" i="9"/>
  <c r="M41" i="9"/>
  <c r="D41" i="9"/>
  <c r="Y32" i="9"/>
  <c r="X32" i="9"/>
  <c r="W32" i="9"/>
  <c r="V32" i="9"/>
  <c r="Q32" i="9"/>
  <c r="P32" i="9"/>
  <c r="O32" i="9"/>
  <c r="M32" i="9"/>
  <c r="D32" i="9"/>
  <c r="Y22" i="9"/>
  <c r="X22" i="9"/>
  <c r="Q22" i="9"/>
  <c r="P22" i="9"/>
  <c r="O22" i="9"/>
  <c r="M22" i="9"/>
  <c r="D22" i="9"/>
  <c r="Z9" i="9"/>
  <c r="Y9" i="9"/>
  <c r="X9" i="9"/>
  <c r="P9" i="9"/>
  <c r="O9" i="9"/>
  <c r="M9" i="9"/>
  <c r="D9" i="9"/>
  <c r="N1213" i="9"/>
  <c r="S1213" i="9" s="1"/>
  <c r="AC1213" i="9" s="1"/>
  <c r="N1212" i="9"/>
  <c r="AA1212" i="9" s="1"/>
  <c r="N1211" i="9"/>
  <c r="AA1211" i="9" s="1"/>
  <c r="AB1211" i="9"/>
  <c r="N1210" i="9"/>
  <c r="S1210" i="9" s="1"/>
  <c r="AC1210" i="9" s="1"/>
  <c r="AB1210" i="9"/>
  <c r="N1209" i="9"/>
  <c r="S1209" i="9" s="1"/>
  <c r="AC1209" i="9" s="1"/>
  <c r="AB1209" i="9"/>
  <c r="N1208" i="9"/>
  <c r="AA1208" i="9" s="1"/>
  <c r="S1208" i="9"/>
  <c r="AC1208" i="9" s="1"/>
  <c r="AB1208" i="9"/>
  <c r="N1207" i="9"/>
  <c r="S1207" i="9" s="1"/>
  <c r="AC1207" i="9" s="1"/>
  <c r="N1206" i="9"/>
  <c r="S1206" i="9" s="1"/>
  <c r="AC1206" i="9" s="1"/>
  <c r="N1205" i="9"/>
  <c r="S1205" i="9" s="1"/>
  <c r="AC1205" i="9" s="1"/>
  <c r="N1204" i="9"/>
  <c r="S1204" i="9" s="1"/>
  <c r="AC1204" i="9" s="1"/>
  <c r="N1203" i="9"/>
  <c r="S1203" i="9" s="1"/>
  <c r="AC1203" i="9" s="1"/>
  <c r="N1105" i="9"/>
  <c r="S1105" i="9" s="1"/>
  <c r="AC1105" i="9" s="1"/>
  <c r="N1104" i="9"/>
  <c r="AA1104" i="9" s="1"/>
  <c r="N1103" i="9"/>
  <c r="S1103" i="9" s="1"/>
  <c r="AC1103" i="9" s="1"/>
  <c r="AB1103" i="9"/>
  <c r="N1102" i="9"/>
  <c r="AA1102" i="9" s="1"/>
  <c r="AB1102" i="9"/>
  <c r="N1101" i="9"/>
  <c r="S1101" i="9" s="1"/>
  <c r="AC1101" i="9" s="1"/>
  <c r="N1100" i="9"/>
  <c r="S1100" i="9" s="1"/>
  <c r="AC1100" i="9" s="1"/>
  <c r="AA996" i="9"/>
  <c r="AA986" i="9"/>
  <c r="N981" i="9"/>
  <c r="AA981" i="9" s="1"/>
  <c r="AB981" i="9"/>
  <c r="N980" i="9"/>
  <c r="AA980" i="9" s="1"/>
  <c r="N979" i="9"/>
  <c r="AA979" i="9" s="1"/>
  <c r="N978" i="9"/>
  <c r="AA978" i="9" s="1"/>
  <c r="N977" i="9"/>
  <c r="AA977" i="9" s="1"/>
  <c r="AA826" i="9"/>
  <c r="AA825" i="9"/>
  <c r="AA824" i="9"/>
  <c r="AA823" i="9"/>
  <c r="AA822" i="9"/>
  <c r="AA821" i="9"/>
  <c r="AB826" i="9"/>
  <c r="AB825" i="9"/>
  <c r="AB824" i="9"/>
  <c r="AB823" i="9"/>
  <c r="AB822" i="9"/>
  <c r="AB821" i="9"/>
  <c r="N530" i="9"/>
  <c r="AA530" i="9" s="1"/>
  <c r="N361" i="9"/>
  <c r="AA361" i="9" s="1"/>
  <c r="N1202" i="9"/>
  <c r="AA1202" i="9" s="1"/>
  <c r="AB1202" i="9"/>
  <c r="N1201" i="9"/>
  <c r="S1201" i="9" s="1"/>
  <c r="AC1201" i="9" s="1"/>
  <c r="N1200" i="9"/>
  <c r="S1200" i="9" s="1"/>
  <c r="AC1200" i="9" s="1"/>
  <c r="N1199" i="9"/>
  <c r="S1199" i="9" s="1"/>
  <c r="AC1199" i="9" s="1"/>
  <c r="N1198" i="9"/>
  <c r="S1198" i="9" s="1"/>
  <c r="AC1198" i="9" s="1"/>
  <c r="N1099" i="9"/>
  <c r="AA1099" i="9" s="1"/>
  <c r="N1098" i="9"/>
  <c r="AA1098" i="9" s="1"/>
  <c r="N1097" i="9"/>
  <c r="AA1097" i="9" s="1"/>
  <c r="N1096" i="9"/>
  <c r="AA1096" i="9" s="1"/>
  <c r="N1095" i="9"/>
  <c r="AA1095" i="9" s="1"/>
  <c r="N1094" i="9"/>
  <c r="AA1094" i="9" s="1"/>
  <c r="N1093" i="9"/>
  <c r="AA1093" i="9" s="1"/>
  <c r="N1092" i="9"/>
  <c r="S1092" i="9" s="1"/>
  <c r="AC1092" i="9" s="1"/>
  <c r="N976" i="9"/>
  <c r="AA976" i="9" s="1"/>
  <c r="N975" i="9"/>
  <c r="AA975" i="9" s="1"/>
  <c r="AA820" i="9"/>
  <c r="AA819" i="9"/>
  <c r="AA827" i="9"/>
  <c r="AB820" i="9"/>
  <c r="AB819" i="9"/>
  <c r="N635" i="9"/>
  <c r="AB635" i="9" s="1"/>
  <c r="N1091" i="9"/>
  <c r="AA1091" i="9" s="1"/>
  <c r="N1090" i="9"/>
  <c r="AA1090" i="9" s="1"/>
  <c r="N974" i="9"/>
  <c r="AA974" i="9" s="1"/>
  <c r="N973" i="9"/>
  <c r="AA973" i="9" s="1"/>
  <c r="N972" i="9"/>
  <c r="AA972" i="9" s="1"/>
  <c r="N971" i="9"/>
  <c r="AA971" i="9" s="1"/>
  <c r="AA818" i="9"/>
  <c r="AA816" i="9"/>
  <c r="AB818" i="9"/>
  <c r="AB817" i="9"/>
  <c r="AB816" i="9"/>
  <c r="AB530" i="9"/>
  <c r="N529" i="9"/>
  <c r="AB529" i="9" s="1"/>
  <c r="N1197" i="9"/>
  <c r="S1197" i="9" s="1"/>
  <c r="AC1197" i="9" s="1"/>
  <c r="N1196" i="9"/>
  <c r="S1196" i="9" s="1"/>
  <c r="AC1196" i="9" s="1"/>
  <c r="N1195" i="9"/>
  <c r="S1195" i="9" s="1"/>
  <c r="AC1195" i="9" s="1"/>
  <c r="N1194" i="9"/>
  <c r="S1194" i="9" s="1"/>
  <c r="AC1194" i="9" s="1"/>
  <c r="N1089" i="9"/>
  <c r="AA1089" i="9" s="1"/>
  <c r="N1088" i="9"/>
  <c r="AA1088" i="9" s="1"/>
  <c r="N1087" i="9"/>
  <c r="AA1087" i="9" s="1"/>
  <c r="N1086" i="9"/>
  <c r="AA1086" i="9" s="1"/>
  <c r="N1085" i="9"/>
  <c r="AA1085" i="9" s="1"/>
  <c r="N1084" i="9"/>
  <c r="AA1084" i="9" s="1"/>
  <c r="N1083" i="9"/>
  <c r="S1083" i="9" s="1"/>
  <c r="AC1083" i="9" s="1"/>
  <c r="N970" i="9"/>
  <c r="AA970" i="9" s="1"/>
  <c r="AA1291" i="9"/>
  <c r="AA1292" i="9" s="1"/>
  <c r="Z1292" i="9"/>
  <c r="Y1292" i="9"/>
  <c r="X1292" i="9"/>
  <c r="W1292" i="9"/>
  <c r="V1292" i="9"/>
  <c r="U1292" i="9"/>
  <c r="T1292" i="9"/>
  <c r="R1292" i="9"/>
  <c r="Q1292" i="9"/>
  <c r="P1292" i="9"/>
  <c r="P1296" i="9" s="1"/>
  <c r="O1292" i="9"/>
  <c r="O1296" i="9" s="1"/>
  <c r="M1292" i="9"/>
  <c r="D1292" i="9"/>
  <c r="L1292" i="9"/>
  <c r="K1292" i="9"/>
  <c r="J1292" i="9"/>
  <c r="I1292" i="9"/>
  <c r="G1292" i="9"/>
  <c r="F1292" i="9"/>
  <c r="E1292" i="9"/>
  <c r="N1291" i="9"/>
  <c r="AB1291" i="9" s="1"/>
  <c r="AB1292" i="9" s="1"/>
  <c r="N968" i="9"/>
  <c r="AA968" i="9" s="1"/>
  <c r="AB815" i="9"/>
  <c r="N967" i="9"/>
  <c r="AA967" i="9" s="1"/>
  <c r="N966" i="9"/>
  <c r="AA966" i="9" s="1"/>
  <c r="AB814" i="9"/>
  <c r="AB813" i="9"/>
  <c r="AB812" i="9"/>
  <c r="AA814" i="9"/>
  <c r="AA812" i="9"/>
  <c r="N528" i="9"/>
  <c r="AA528" i="9" s="1"/>
  <c r="N1193" i="9"/>
  <c r="S1193" i="9" s="1"/>
  <c r="AC1193" i="9" s="1"/>
  <c r="N1192" i="9"/>
  <c r="S1192" i="9" s="1"/>
  <c r="AC1192" i="9" s="1"/>
  <c r="N1191" i="9"/>
  <c r="S1191" i="9" s="1"/>
  <c r="AC1191" i="9" s="1"/>
  <c r="N1190" i="9"/>
  <c r="S1190" i="9" s="1"/>
  <c r="AC1190" i="9" s="1"/>
  <c r="N634" i="9"/>
  <c r="AB634" i="9" s="1"/>
  <c r="N527" i="9"/>
  <c r="AA527" i="9" s="1"/>
  <c r="N360" i="9"/>
  <c r="AB360" i="9" s="1"/>
  <c r="AB1190" i="9"/>
  <c r="N1189" i="9"/>
  <c r="S1189" i="9" s="1"/>
  <c r="AC1189" i="9" s="1"/>
  <c r="N1188" i="9"/>
  <c r="S1188" i="9" s="1"/>
  <c r="AC1188" i="9" s="1"/>
  <c r="N1187" i="9"/>
  <c r="S1187" i="9" s="1"/>
  <c r="AC1187" i="9" s="1"/>
  <c r="N1186" i="9"/>
  <c r="AB1186" i="9" s="1"/>
  <c r="N1185" i="9"/>
  <c r="S1185" i="9" s="1"/>
  <c r="AC1185" i="9" s="1"/>
  <c r="H58" i="21"/>
  <c r="AA366" i="9"/>
  <c r="AA367" i="9"/>
  <c r="Z1033" i="9"/>
  <c r="Z1032" i="9"/>
  <c r="Z1031" i="9"/>
  <c r="Z1030" i="9"/>
  <c r="Z1029" i="9"/>
  <c r="Z1028" i="9"/>
  <c r="Z1027" i="9"/>
  <c r="Z1026" i="9"/>
  <c r="Z1025" i="9"/>
  <c r="Z1024" i="9"/>
  <c r="Z1023" i="9"/>
  <c r="Z1022" i="9"/>
  <c r="Z1021" i="9"/>
  <c r="Z1020" i="9"/>
  <c r="Z1019" i="9"/>
  <c r="Z1018" i="9"/>
  <c r="Z914" i="9"/>
  <c r="Z913" i="9"/>
  <c r="Z912" i="9"/>
  <c r="Z911" i="9"/>
  <c r="Z910" i="9"/>
  <c r="Z909" i="9"/>
  <c r="Z908" i="9"/>
  <c r="Z907" i="9"/>
  <c r="Z906" i="9"/>
  <c r="Z905" i="9"/>
  <c r="Z904" i="9"/>
  <c r="Z903" i="9"/>
  <c r="Z902" i="9"/>
  <c r="Z901" i="9"/>
  <c r="Z900" i="9"/>
  <c r="Z899" i="9"/>
  <c r="Z898" i="9"/>
  <c r="Z897" i="9"/>
  <c r="Z896" i="9"/>
  <c r="Z895" i="9"/>
  <c r="Z894" i="9"/>
  <c r="Z893" i="9"/>
  <c r="Z892" i="9"/>
  <c r="Z891" i="9"/>
  <c r="Z890" i="9"/>
  <c r="Z889" i="9"/>
  <c r="Z888" i="9"/>
  <c r="Z887" i="9"/>
  <c r="Z886" i="9"/>
  <c r="Z885" i="9"/>
  <c r="Z884" i="9"/>
  <c r="Z883" i="9"/>
  <c r="Z882" i="9"/>
  <c r="Z881" i="9"/>
  <c r="Z880" i="9"/>
  <c r="Z879" i="9"/>
  <c r="Z878" i="9"/>
  <c r="Z877" i="9"/>
  <c r="Z876" i="9"/>
  <c r="Z875" i="9"/>
  <c r="Z874" i="9"/>
  <c r="Z873" i="9"/>
  <c r="Z872" i="9"/>
  <c r="Z871" i="9"/>
  <c r="Z757" i="9"/>
  <c r="Z756" i="9"/>
  <c r="Z755" i="9"/>
  <c r="Z754" i="9"/>
  <c r="Z753" i="9"/>
  <c r="Z752" i="9"/>
  <c r="Z751" i="9"/>
  <c r="Z750" i="9"/>
  <c r="Z749" i="9"/>
  <c r="Z748" i="9"/>
  <c r="Z747" i="9"/>
  <c r="Z746" i="9"/>
  <c r="Z745" i="9"/>
  <c r="Z744" i="9"/>
  <c r="Z743" i="9"/>
  <c r="Z742" i="9"/>
  <c r="Z741" i="9"/>
  <c r="Z740" i="9"/>
  <c r="Z739" i="9"/>
  <c r="Z738" i="9"/>
  <c r="Z737" i="9"/>
  <c r="Z736" i="9"/>
  <c r="Z735" i="9"/>
  <c r="Z734" i="9"/>
  <c r="Z733" i="9"/>
  <c r="Z732" i="9"/>
  <c r="Z731" i="9"/>
  <c r="Z730" i="9"/>
  <c r="Z729" i="9"/>
  <c r="Z728" i="9"/>
  <c r="Z727" i="9"/>
  <c r="Z726" i="9"/>
  <c r="Z725" i="9"/>
  <c r="Z724" i="9"/>
  <c r="Z723" i="9"/>
  <c r="Z722" i="9"/>
  <c r="Z721" i="9"/>
  <c r="Z720" i="9"/>
  <c r="Z719" i="9"/>
  <c r="Z718" i="9"/>
  <c r="Z717" i="9"/>
  <c r="Z716" i="9"/>
  <c r="Z715" i="9"/>
  <c r="Z714" i="9"/>
  <c r="Z713" i="9"/>
  <c r="Z712" i="9"/>
  <c r="Z711" i="9"/>
  <c r="Z710" i="9"/>
  <c r="Z709" i="9"/>
  <c r="Z708" i="9"/>
  <c r="Z707" i="9"/>
  <c r="Z706" i="9"/>
  <c r="Z705" i="9"/>
  <c r="Z704" i="9"/>
  <c r="Z703" i="9"/>
  <c r="Z702" i="9"/>
  <c r="Z701" i="9"/>
  <c r="Z700" i="9"/>
  <c r="Z699" i="9"/>
  <c r="Z698" i="9"/>
  <c r="Z620" i="9"/>
  <c r="Z619" i="9"/>
  <c r="Z618" i="9"/>
  <c r="Z617" i="9"/>
  <c r="Z616" i="9"/>
  <c r="Z615" i="9"/>
  <c r="Z614" i="9"/>
  <c r="Z613" i="9"/>
  <c r="Z612" i="9"/>
  <c r="Z611" i="9"/>
  <c r="Z610" i="9"/>
  <c r="Z609" i="9"/>
  <c r="Z608" i="9"/>
  <c r="Z607" i="9"/>
  <c r="Z606" i="9"/>
  <c r="Z605" i="9"/>
  <c r="Z604" i="9"/>
  <c r="Z603" i="9"/>
  <c r="Z602" i="9"/>
  <c r="Z601" i="9"/>
  <c r="Z600" i="9"/>
  <c r="S620" i="9"/>
  <c r="AC620" i="9" s="1"/>
  <c r="S619" i="9"/>
  <c r="AC619" i="9" s="1"/>
  <c r="S618" i="9"/>
  <c r="AC618" i="9" s="1"/>
  <c r="S617" i="9"/>
  <c r="AC617" i="9" s="1"/>
  <c r="S616" i="9"/>
  <c r="AC616" i="9" s="1"/>
  <c r="S615" i="9"/>
  <c r="AC615" i="9" s="1"/>
  <c r="S614" i="9"/>
  <c r="AC614" i="9" s="1"/>
  <c r="S613" i="9"/>
  <c r="AC613" i="9" s="1"/>
  <c r="S612" i="9"/>
  <c r="AC612" i="9" s="1"/>
  <c r="S611" i="9"/>
  <c r="AC611" i="9" s="1"/>
  <c r="S610" i="9"/>
  <c r="AC610" i="9" s="1"/>
  <c r="S609" i="9"/>
  <c r="AC609" i="9" s="1"/>
  <c r="S608" i="9"/>
  <c r="AC608" i="9" s="1"/>
  <c r="S607" i="9"/>
  <c r="AC607" i="9" s="1"/>
  <c r="S606" i="9"/>
  <c r="AC606" i="9" s="1"/>
  <c r="S605" i="9"/>
  <c r="AC605" i="9" s="1"/>
  <c r="S604" i="9"/>
  <c r="AC604" i="9" s="1"/>
  <c r="S603" i="9"/>
  <c r="AC603" i="9" s="1"/>
  <c r="S602" i="9"/>
  <c r="AC602" i="9" s="1"/>
  <c r="S601" i="9"/>
  <c r="AC601" i="9" s="1"/>
  <c r="Z504" i="9"/>
  <c r="Z503" i="9"/>
  <c r="Z502" i="9"/>
  <c r="Z501" i="9"/>
  <c r="Z500" i="9"/>
  <c r="Z499" i="9"/>
  <c r="Z498" i="9"/>
  <c r="Z497" i="9"/>
  <c r="Z496" i="9"/>
  <c r="Z495" i="9"/>
  <c r="Z494" i="9"/>
  <c r="Z493" i="9"/>
  <c r="Z492" i="9"/>
  <c r="Z491" i="9"/>
  <c r="Z490" i="9"/>
  <c r="Z489" i="9"/>
  <c r="Z488" i="9"/>
  <c r="Z487" i="9"/>
  <c r="Z486" i="9"/>
  <c r="Z485" i="9"/>
  <c r="Z484" i="9"/>
  <c r="Z483" i="9"/>
  <c r="Z482" i="9"/>
  <c r="Z481" i="9"/>
  <c r="Z480" i="9"/>
  <c r="Z479" i="9"/>
  <c r="Z478" i="9"/>
  <c r="Z477" i="9"/>
  <c r="Z476" i="9"/>
  <c r="Z347" i="9"/>
  <c r="Z346" i="9"/>
  <c r="Z345" i="9"/>
  <c r="Z344" i="9"/>
  <c r="Z343" i="9"/>
  <c r="Z342" i="9"/>
  <c r="Z341" i="9"/>
  <c r="Z340" i="9"/>
  <c r="Z339" i="9"/>
  <c r="Z338" i="9"/>
  <c r="Z337" i="9"/>
  <c r="Z134" i="9"/>
  <c r="Z88" i="9"/>
  <c r="Z40" i="9"/>
  <c r="Z39" i="9"/>
  <c r="Z31" i="9"/>
  <c r="Z30" i="9"/>
  <c r="Z29" i="9"/>
  <c r="O13" i="6"/>
  <c r="O9" i="6"/>
  <c r="O15" i="6"/>
  <c r="H15" i="7" s="1"/>
  <c r="P20" i="8"/>
  <c r="D8" i="7" s="1"/>
  <c r="N58" i="21"/>
  <c r="E7" i="7" s="1"/>
  <c r="E8" i="7" s="1"/>
  <c r="R50" i="21"/>
  <c r="R49" i="21"/>
  <c r="R48" i="21"/>
  <c r="R47" i="21"/>
  <c r="R46" i="21"/>
  <c r="R41" i="21"/>
  <c r="R40" i="21"/>
  <c r="R33" i="21"/>
  <c r="R32" i="21"/>
  <c r="R31" i="21"/>
  <c r="R30" i="21"/>
  <c r="R29" i="21"/>
  <c r="R28" i="21"/>
  <c r="R27" i="21"/>
  <c r="R26" i="21"/>
  <c r="R25" i="21"/>
  <c r="R24" i="21"/>
  <c r="R23" i="21"/>
  <c r="R21" i="21"/>
  <c r="R20" i="21"/>
  <c r="R19" i="21"/>
  <c r="R18" i="21"/>
  <c r="R16" i="21"/>
  <c r="R15" i="21"/>
  <c r="R14" i="21"/>
  <c r="R7" i="21"/>
  <c r="R6" i="21"/>
  <c r="R5" i="21"/>
  <c r="L47" i="21"/>
  <c r="L46" i="21"/>
  <c r="L45" i="21"/>
  <c r="L44" i="21"/>
  <c r="L43" i="21"/>
  <c r="L42" i="21"/>
  <c r="L41" i="21"/>
  <c r="N46" i="4"/>
  <c r="I46" i="4"/>
  <c r="C48" i="4"/>
  <c r="B48" i="4"/>
  <c r="B46" i="4"/>
  <c r="O46" i="4"/>
  <c r="M46" i="4"/>
  <c r="M49" i="4" s="1"/>
  <c r="F33" i="7" s="1"/>
  <c r="L46" i="4"/>
  <c r="L49" i="4" s="1"/>
  <c r="E33" i="7" s="1"/>
  <c r="J46" i="4"/>
  <c r="P45" i="4"/>
  <c r="P46" i="4" s="1"/>
  <c r="M44" i="4"/>
  <c r="J44" i="4"/>
  <c r="P43" i="4"/>
  <c r="P44" i="4" s="1"/>
  <c r="M42" i="4"/>
  <c r="J42" i="4"/>
  <c r="P41" i="4"/>
  <c r="P42" i="4" s="1"/>
  <c r="M40" i="4"/>
  <c r="J40" i="4"/>
  <c r="P39" i="4"/>
  <c r="P40" i="4" s="1"/>
  <c r="P36" i="4"/>
  <c r="P37" i="4"/>
  <c r="M37" i="4"/>
  <c r="L37" i="4"/>
  <c r="J37" i="4"/>
  <c r="M35" i="4"/>
  <c r="J35" i="4"/>
  <c r="P34" i="4"/>
  <c r="P35" i="4" s="1"/>
  <c r="M33" i="4"/>
  <c r="J32" i="4"/>
  <c r="P32" i="4" s="1"/>
  <c r="P33" i="4" s="1"/>
  <c r="M31" i="4"/>
  <c r="M29" i="4"/>
  <c r="M27" i="4"/>
  <c r="M24" i="4"/>
  <c r="M21" i="4"/>
  <c r="M18" i="4"/>
  <c r="M15" i="4"/>
  <c r="M11" i="4"/>
  <c r="M8" i="4"/>
  <c r="L8" i="4"/>
  <c r="O44" i="4"/>
  <c r="I44" i="4"/>
  <c r="D34" i="7"/>
  <c r="D30" i="7"/>
  <c r="D28" i="7"/>
  <c r="D27" i="7"/>
  <c r="D26" i="7"/>
  <c r="D25" i="7"/>
  <c r="D11" i="7"/>
  <c r="D10" i="7"/>
  <c r="N1082" i="9"/>
  <c r="N1081" i="9"/>
  <c r="N1080" i="9"/>
  <c r="N1079" i="9"/>
  <c r="N1078" i="9"/>
  <c r="N1077" i="9"/>
  <c r="N1076" i="9"/>
  <c r="N633" i="9"/>
  <c r="N965" i="9"/>
  <c r="S965" i="9" s="1"/>
  <c r="AC965" i="9" s="1"/>
  <c r="N964" i="9"/>
  <c r="S964" i="9" s="1"/>
  <c r="AC964" i="9" s="1"/>
  <c r="N963" i="9"/>
  <c r="S963" i="9" s="1"/>
  <c r="AC963" i="9" s="1"/>
  <c r="N962" i="9"/>
  <c r="S962" i="9" s="1"/>
  <c r="AC962" i="9" s="1"/>
  <c r="N961" i="9"/>
  <c r="S961" i="9" s="1"/>
  <c r="AC961" i="9" s="1"/>
  <c r="AB964" i="9"/>
  <c r="AA964" i="9" s="1"/>
  <c r="AB961" i="9"/>
  <c r="AA961" i="9" s="1"/>
  <c r="N960" i="9"/>
  <c r="S960" i="9" s="1"/>
  <c r="AC960" i="9" s="1"/>
  <c r="N526" i="9"/>
  <c r="S526" i="9" s="1"/>
  <c r="AC526" i="9" s="1"/>
  <c r="AB810" i="9"/>
  <c r="AA810" i="9" s="1"/>
  <c r="AB808" i="9"/>
  <c r="AA808" i="9" s="1"/>
  <c r="N1184" i="9"/>
  <c r="N1074" i="9"/>
  <c r="N959" i="9"/>
  <c r="S959" i="9" s="1"/>
  <c r="AC959" i="9" s="1"/>
  <c r="AB807" i="9"/>
  <c r="AA807" i="9" s="1"/>
  <c r="AB806" i="9"/>
  <c r="AA806" i="9" s="1"/>
  <c r="AB805" i="9"/>
  <c r="AA805" i="9" s="1"/>
  <c r="AB804" i="9"/>
  <c r="AA804" i="9" s="1"/>
  <c r="N1073" i="9"/>
  <c r="N1072" i="9"/>
  <c r="N1071" i="9"/>
  <c r="N1070" i="9"/>
  <c r="N1069" i="9"/>
  <c r="N958" i="9"/>
  <c r="S958" i="9" s="1"/>
  <c r="AC958" i="9" s="1"/>
  <c r="N957" i="9"/>
  <c r="S957" i="9" s="1"/>
  <c r="AC957" i="9" s="1"/>
  <c r="N956" i="9"/>
  <c r="S956" i="9" s="1"/>
  <c r="AC956" i="9" s="1"/>
  <c r="N955" i="9"/>
  <c r="S955" i="9" s="1"/>
  <c r="AC955" i="9" s="1"/>
  <c r="AB802" i="9"/>
  <c r="AA802" i="9" s="1"/>
  <c r="N525" i="9"/>
  <c r="S525" i="9" s="1"/>
  <c r="AC525" i="9" s="1"/>
  <c r="N1183" i="9"/>
  <c r="N1182" i="9"/>
  <c r="N1068" i="9"/>
  <c r="N1067" i="9"/>
  <c r="AB800" i="9"/>
  <c r="AA800" i="9" s="1"/>
  <c r="N632" i="9"/>
  <c r="N524" i="9"/>
  <c r="S524" i="9" s="1"/>
  <c r="AC524" i="9" s="1"/>
  <c r="N954" i="9"/>
  <c r="S954" i="9" s="1"/>
  <c r="AC954" i="9" s="1"/>
  <c r="N953" i="9"/>
  <c r="S953" i="9" s="1"/>
  <c r="AC953" i="9" s="1"/>
  <c r="N359" i="9"/>
  <c r="AB359" i="9" s="1"/>
  <c r="AA359" i="9" s="1"/>
  <c r="N358" i="9"/>
  <c r="AB358" i="9" s="1"/>
  <c r="AA358" i="9" s="1"/>
  <c r="N357" i="9"/>
  <c r="AB357" i="9" s="1"/>
  <c r="AA357" i="9" s="1"/>
  <c r="N1066" i="9"/>
  <c r="N356" i="9"/>
  <c r="AB356" i="9" s="1"/>
  <c r="AA356" i="9" s="1"/>
  <c r="N1181" i="9"/>
  <c r="N1065" i="9"/>
  <c r="N1064" i="9"/>
  <c r="N1063" i="9"/>
  <c r="N1062" i="9"/>
  <c r="N1061" i="9"/>
  <c r="N1060" i="9"/>
  <c r="N952" i="9"/>
  <c r="S952" i="9" s="1"/>
  <c r="AC952" i="9" s="1"/>
  <c r="N951" i="9"/>
  <c r="S951" i="9" s="1"/>
  <c r="AC951" i="9" s="1"/>
  <c r="N950" i="9"/>
  <c r="S950" i="9" s="1"/>
  <c r="AC950" i="9" s="1"/>
  <c r="AB798" i="9"/>
  <c r="AA798" i="9" s="1"/>
  <c r="N631" i="9"/>
  <c r="N523" i="9"/>
  <c r="S523" i="9" s="1"/>
  <c r="AC523" i="9" s="1"/>
  <c r="N949" i="9"/>
  <c r="S949" i="9" s="1"/>
  <c r="AC949" i="9" s="1"/>
  <c r="AB796" i="9"/>
  <c r="AA796" i="9" s="1"/>
  <c r="N522" i="9"/>
  <c r="S522" i="9" s="1"/>
  <c r="AC522" i="9" s="1"/>
  <c r="N355" i="9"/>
  <c r="AB355" i="9" s="1"/>
  <c r="AA355" i="9" s="1"/>
  <c r="N354" i="9"/>
  <c r="AB354" i="9" s="1"/>
  <c r="AA354" i="9" s="1"/>
  <c r="N1059" i="9"/>
  <c r="N1058" i="9"/>
  <c r="N1057" i="9"/>
  <c r="N1056" i="9"/>
  <c r="N948" i="9"/>
  <c r="S948" i="9" s="1"/>
  <c r="AC948" i="9" s="1"/>
  <c r="N947" i="9"/>
  <c r="S947" i="9" s="1"/>
  <c r="AC947" i="9" s="1"/>
  <c r="AB794" i="9"/>
  <c r="AA794" i="9" s="1"/>
  <c r="AB792" i="9"/>
  <c r="AA792" i="9" s="1"/>
  <c r="AB790" i="9"/>
  <c r="AA790" i="9" s="1"/>
  <c r="N630" i="9"/>
  <c r="S630" i="9" s="1"/>
  <c r="AC630" i="9" s="1"/>
  <c r="N629" i="9"/>
  <c r="AB630" i="9"/>
  <c r="AA630" i="9" s="1"/>
  <c r="N136" i="9"/>
  <c r="AB136" i="9" s="1"/>
  <c r="AA136" i="9" s="1"/>
  <c r="N1180" i="9"/>
  <c r="N1179" i="9"/>
  <c r="N1055" i="9"/>
  <c r="N946" i="9"/>
  <c r="S946" i="9" s="1"/>
  <c r="AC946" i="9" s="1"/>
  <c r="N945" i="9"/>
  <c r="S945" i="9" s="1"/>
  <c r="AC945" i="9" s="1"/>
  <c r="AB789" i="9"/>
  <c r="AA789" i="9" s="1"/>
  <c r="N628" i="9"/>
  <c r="N521" i="9"/>
  <c r="S521" i="9" s="1"/>
  <c r="AC521" i="9" s="1"/>
  <c r="N520" i="9"/>
  <c r="S520" i="9" s="1"/>
  <c r="AC520" i="9" s="1"/>
  <c r="AB521" i="9"/>
  <c r="AA521" i="9" s="1"/>
  <c r="AB520" i="9"/>
  <c r="AA520" i="9" s="1"/>
  <c r="N1178" i="9"/>
  <c r="N1054" i="9"/>
  <c r="N944" i="9"/>
  <c r="S944" i="9" s="1"/>
  <c r="AC944" i="9" s="1"/>
  <c r="N943" i="9"/>
  <c r="S943" i="9" s="1"/>
  <c r="AC943" i="9" s="1"/>
  <c r="N1053" i="9"/>
  <c r="N1052" i="9"/>
  <c r="S1052" i="9" s="1"/>
  <c r="AC1052" i="9" s="1"/>
  <c r="N1051" i="9"/>
  <c r="S1051" i="9" s="1"/>
  <c r="AC1051" i="9" s="1"/>
  <c r="N1050" i="9"/>
  <c r="S1050" i="9" s="1"/>
  <c r="AC1050" i="9" s="1"/>
  <c r="N1049" i="9"/>
  <c r="S1049" i="9" s="1"/>
  <c r="AC1049" i="9" s="1"/>
  <c r="AB1052" i="9"/>
  <c r="AA1052" i="9" s="1"/>
  <c r="AB1051" i="9"/>
  <c r="AA1051" i="9" s="1"/>
  <c r="AB1050" i="9"/>
  <c r="AA1050" i="9" s="1"/>
  <c r="AB1049" i="9"/>
  <c r="AA1049" i="9" s="1"/>
  <c r="N1177" i="9"/>
  <c r="N1176" i="9"/>
  <c r="N942" i="9"/>
  <c r="S942" i="9" s="1"/>
  <c r="AC942" i="9" s="1"/>
  <c r="N941" i="9"/>
  <c r="S941" i="9" s="1"/>
  <c r="AC941" i="9" s="1"/>
  <c r="N940" i="9"/>
  <c r="S940" i="9" s="1"/>
  <c r="AC940" i="9" s="1"/>
  <c r="N939" i="9"/>
  <c r="S939" i="9" s="1"/>
  <c r="AC939" i="9" s="1"/>
  <c r="AB788" i="9"/>
  <c r="AA788" i="9" s="1"/>
  <c r="AB787" i="9"/>
  <c r="AA787" i="9" s="1"/>
  <c r="AB786" i="9"/>
  <c r="AA786" i="9" s="1"/>
  <c r="AB785" i="9"/>
  <c r="AA785" i="9" s="1"/>
  <c r="AB784" i="9"/>
  <c r="AA784" i="9" s="1"/>
  <c r="AB783" i="9"/>
  <c r="AA783" i="9" s="1"/>
  <c r="N519" i="9"/>
  <c r="S519" i="9" s="1"/>
  <c r="AC519" i="9" s="1"/>
  <c r="N353" i="9"/>
  <c r="AB353" i="9" s="1"/>
  <c r="AA353" i="9" s="1"/>
  <c r="AB782" i="9"/>
  <c r="AA782" i="9" s="1"/>
  <c r="N518" i="9"/>
  <c r="S518" i="9" s="1"/>
  <c r="AC518" i="9" s="1"/>
  <c r="N517" i="9"/>
  <c r="S517" i="9" s="1"/>
  <c r="AC517" i="9" s="1"/>
  <c r="N1175" i="9"/>
  <c r="N1174" i="9"/>
  <c r="N1173" i="9"/>
  <c r="N938" i="9"/>
  <c r="S938" i="9" s="1"/>
  <c r="AC938" i="9" s="1"/>
  <c r="N1048" i="9"/>
  <c r="N1047" i="9"/>
  <c r="N1046" i="9"/>
  <c r="N1045" i="9"/>
  <c r="S1045" i="9" s="1"/>
  <c r="AC1045" i="9" s="1"/>
  <c r="N1044" i="9"/>
  <c r="S1044" i="9" s="1"/>
  <c r="AC1044" i="9" s="1"/>
  <c r="N937" i="9"/>
  <c r="S937" i="9" s="1"/>
  <c r="AC937" i="9" s="1"/>
  <c r="N936" i="9"/>
  <c r="S936" i="9" s="1"/>
  <c r="AC936" i="9" s="1"/>
  <c r="N935" i="9"/>
  <c r="S935" i="9" s="1"/>
  <c r="AC935" i="9" s="1"/>
  <c r="AB781" i="9"/>
  <c r="AA781" i="9" s="1"/>
  <c r="N934" i="9"/>
  <c r="S934" i="9" s="1"/>
  <c r="AC934" i="9" s="1"/>
  <c r="N933" i="9"/>
  <c r="S933" i="9" s="1"/>
  <c r="AC933" i="9" s="1"/>
  <c r="AB780" i="9"/>
  <c r="AA780" i="9" s="1"/>
  <c r="AB778" i="9"/>
  <c r="AA778" i="9" s="1"/>
  <c r="AB776" i="9"/>
  <c r="AA776" i="9" s="1"/>
  <c r="AB779" i="9"/>
  <c r="AA779" i="9" s="1"/>
  <c r="N352" i="9"/>
  <c r="AB352" i="9" s="1"/>
  <c r="AA352" i="9" s="1"/>
  <c r="N932" i="9"/>
  <c r="S932" i="9" s="1"/>
  <c r="AC932" i="9" s="1"/>
  <c r="AB775" i="9"/>
  <c r="AA775" i="9" s="1"/>
  <c r="AB774" i="9"/>
  <c r="AA774" i="9" s="1"/>
  <c r="N516" i="9"/>
  <c r="S516" i="9" s="1"/>
  <c r="AC516" i="9" s="1"/>
  <c r="N515" i="9"/>
  <c r="S515" i="9" s="1"/>
  <c r="AC515" i="9" s="1"/>
  <c r="AB773" i="9"/>
  <c r="AA773" i="9" s="1"/>
  <c r="N1172" i="9"/>
  <c r="N1043" i="9"/>
  <c r="N1042" i="9"/>
  <c r="N1041" i="9"/>
  <c r="N1040" i="9"/>
  <c r="N931" i="9"/>
  <c r="S931" i="9" s="1"/>
  <c r="AC931" i="9" s="1"/>
  <c r="N930" i="9"/>
  <c r="S930" i="9" s="1"/>
  <c r="AC930" i="9" s="1"/>
  <c r="N929" i="9"/>
  <c r="S929" i="9" s="1"/>
  <c r="AC929" i="9" s="1"/>
  <c r="N928" i="9"/>
  <c r="S928" i="9" s="1"/>
  <c r="AC928" i="9" s="1"/>
  <c r="N927" i="9"/>
  <c r="S927" i="9" s="1"/>
  <c r="AC927" i="9" s="1"/>
  <c r="AB772" i="9"/>
  <c r="AA772" i="9" s="1"/>
  <c r="AB771" i="9"/>
  <c r="AA771" i="9" s="1"/>
  <c r="AB770" i="9"/>
  <c r="AA770" i="9" s="1"/>
  <c r="N514" i="9"/>
  <c r="S514" i="9" s="1"/>
  <c r="AC514" i="9" s="1"/>
  <c r="N351" i="9"/>
  <c r="AB351" i="9" s="1"/>
  <c r="AA351" i="9" s="1"/>
  <c r="N1171" i="9"/>
  <c r="N1039" i="9"/>
  <c r="AB768" i="9"/>
  <c r="AA768" i="9" s="1"/>
  <c r="AB767" i="9"/>
  <c r="AA767" i="9" s="1"/>
  <c r="N1038" i="9"/>
  <c r="N1037" i="9"/>
  <c r="N926" i="9"/>
  <c r="S926" i="9" s="1"/>
  <c r="AC926" i="9" s="1"/>
  <c r="N925" i="9"/>
  <c r="S925" i="9" s="1"/>
  <c r="AC925" i="9" s="1"/>
  <c r="N924" i="9"/>
  <c r="S924" i="9" s="1"/>
  <c r="AC924" i="9" s="1"/>
  <c r="N923" i="9"/>
  <c r="S923" i="9" s="1"/>
  <c r="AC923" i="9" s="1"/>
  <c r="AB926" i="9"/>
  <c r="AA926" i="9" s="1"/>
  <c r="N627" i="9"/>
  <c r="N626" i="9"/>
  <c r="N625" i="9"/>
  <c r="N624" i="9"/>
  <c r="N623" i="9"/>
  <c r="N622" i="9"/>
  <c r="N513" i="9"/>
  <c r="S513" i="9" s="1"/>
  <c r="AC513" i="9" s="1"/>
  <c r="N512" i="9"/>
  <c r="S512" i="9" s="1"/>
  <c r="AC512" i="9" s="1"/>
  <c r="N511" i="9"/>
  <c r="S511" i="9" s="1"/>
  <c r="AC511" i="9" s="1"/>
  <c r="AB766" i="9"/>
  <c r="AA766" i="9" s="1"/>
  <c r="N135" i="9"/>
  <c r="AB135" i="9" s="1"/>
  <c r="AA135" i="9" s="1"/>
  <c r="N1036" i="9"/>
  <c r="N1035" i="9"/>
  <c r="AB764" i="9"/>
  <c r="AA764" i="9" s="1"/>
  <c r="N922" i="9"/>
  <c r="S922" i="9" s="1"/>
  <c r="AC922" i="9" s="1"/>
  <c r="N921" i="9"/>
  <c r="S921" i="9" s="1"/>
  <c r="AC921" i="9" s="1"/>
  <c r="N920" i="9"/>
  <c r="S920" i="9" s="1"/>
  <c r="AC920" i="9" s="1"/>
  <c r="N919" i="9"/>
  <c r="S919" i="9" s="1"/>
  <c r="AC919" i="9" s="1"/>
  <c r="AB762" i="9"/>
  <c r="AA762" i="9" s="1"/>
  <c r="AB620" i="9"/>
  <c r="N621" i="9"/>
  <c r="N510" i="9"/>
  <c r="S510" i="9" s="1"/>
  <c r="AC510" i="9" s="1"/>
  <c r="N509" i="9"/>
  <c r="S509" i="9" s="1"/>
  <c r="AC509" i="9" s="1"/>
  <c r="N508" i="9"/>
  <c r="S508" i="9" s="1"/>
  <c r="AC508" i="9" s="1"/>
  <c r="N1170" i="9"/>
  <c r="N1169" i="9"/>
  <c r="S1169" i="9" s="1"/>
  <c r="AC1169" i="9" s="1"/>
  <c r="L1282" i="9"/>
  <c r="K1282" i="9"/>
  <c r="J1282" i="9"/>
  <c r="I1282" i="9"/>
  <c r="G1282" i="9"/>
  <c r="F1282" i="9"/>
  <c r="E1282" i="9"/>
  <c r="AB760" i="9"/>
  <c r="AA760" i="9" s="1"/>
  <c r="N507" i="9"/>
  <c r="S507" i="9" s="1"/>
  <c r="AC507" i="9" s="1"/>
  <c r="N350" i="9"/>
  <c r="AB350" i="9" s="1"/>
  <c r="AA350" i="9" s="1"/>
  <c r="N349" i="9"/>
  <c r="AB349" i="9" s="1"/>
  <c r="AA349" i="9" s="1"/>
  <c r="N348" i="9"/>
  <c r="AB348" i="9" s="1"/>
  <c r="AA348" i="9" s="1"/>
  <c r="N1034" i="9"/>
  <c r="S1034" i="9" s="1"/>
  <c r="AC1034" i="9" s="1"/>
  <c r="N506" i="9"/>
  <c r="S506" i="9" s="1"/>
  <c r="AC506" i="9" s="1"/>
  <c r="N505" i="9"/>
  <c r="S505" i="9" s="1"/>
  <c r="AC505" i="9" s="1"/>
  <c r="N918" i="9"/>
  <c r="S918" i="9" s="1"/>
  <c r="AC918" i="9" s="1"/>
  <c r="N917" i="9"/>
  <c r="S917" i="9" s="1"/>
  <c r="AC917" i="9" s="1"/>
  <c r="AB759" i="9"/>
  <c r="AA759" i="9" s="1"/>
  <c r="AB758" i="9"/>
  <c r="AA758" i="9" s="1"/>
  <c r="N915" i="9"/>
  <c r="S915" i="9" s="1"/>
  <c r="AC915" i="9" s="1"/>
  <c r="N916" i="9"/>
  <c r="S916" i="9" s="1"/>
  <c r="AC916" i="9" s="1"/>
  <c r="U870" i="9"/>
  <c r="Z870" i="9" s="1"/>
  <c r="U869" i="9"/>
  <c r="Z869" i="9" s="1"/>
  <c r="U868" i="9"/>
  <c r="Z868" i="9" s="1"/>
  <c r="U867" i="9"/>
  <c r="Z867" i="9" s="1"/>
  <c r="U866" i="9"/>
  <c r="Z866" i="9" s="1"/>
  <c r="U865" i="9"/>
  <c r="Z865" i="9" s="1"/>
  <c r="U864" i="9"/>
  <c r="Z864" i="9" s="1"/>
  <c r="U863" i="9"/>
  <c r="Z863" i="9" s="1"/>
  <c r="U862" i="9"/>
  <c r="Z862" i="9" s="1"/>
  <c r="U861" i="9"/>
  <c r="Z861" i="9" s="1"/>
  <c r="U860" i="9"/>
  <c r="Z860" i="9" s="1"/>
  <c r="U859" i="9"/>
  <c r="Z859" i="9" s="1"/>
  <c r="U858" i="9"/>
  <c r="Z858" i="9" s="1"/>
  <c r="U857" i="9"/>
  <c r="Z857" i="9" s="1"/>
  <c r="U856" i="9"/>
  <c r="U697" i="9"/>
  <c r="U696" i="9"/>
  <c r="U695" i="9"/>
  <c r="U694" i="9"/>
  <c r="U693" i="9"/>
  <c r="U692" i="9"/>
  <c r="U691" i="9"/>
  <c r="U690" i="9"/>
  <c r="U689" i="9"/>
  <c r="U688" i="9"/>
  <c r="U687" i="9"/>
  <c r="U686" i="9"/>
  <c r="U685" i="9"/>
  <c r="U684" i="9"/>
  <c r="U683" i="9"/>
  <c r="U682" i="9"/>
  <c r="U681" i="9"/>
  <c r="U680" i="9"/>
  <c r="U679" i="9"/>
  <c r="U678" i="9"/>
  <c r="U677" i="9"/>
  <c r="U676" i="9"/>
  <c r="U675" i="9"/>
  <c r="U674" i="9"/>
  <c r="U673" i="9"/>
  <c r="U672" i="9"/>
  <c r="U671" i="9"/>
  <c r="U670" i="9"/>
  <c r="U669" i="9"/>
  <c r="U668" i="9"/>
  <c r="U667" i="9"/>
  <c r="U666" i="9"/>
  <c r="U665" i="9"/>
  <c r="U664" i="9"/>
  <c r="U663" i="9"/>
  <c r="U599" i="9"/>
  <c r="Z599" i="9" s="1"/>
  <c r="U598" i="9"/>
  <c r="Z598" i="9" s="1"/>
  <c r="U597" i="9"/>
  <c r="Z597" i="9" s="1"/>
  <c r="U596" i="9"/>
  <c r="Z596" i="9" s="1"/>
  <c r="U595" i="9"/>
  <c r="Z595" i="9" s="1"/>
  <c r="U594" i="9"/>
  <c r="Z594" i="9" s="1"/>
  <c r="U593" i="9"/>
  <c r="Z593" i="9" s="1"/>
  <c r="U592" i="9"/>
  <c r="Z592" i="9" s="1"/>
  <c r="U591" i="9"/>
  <c r="Z591" i="9" s="1"/>
  <c r="U590" i="9"/>
  <c r="Z590" i="9" s="1"/>
  <c r="U589" i="9"/>
  <c r="Z589" i="9" s="1"/>
  <c r="U588" i="9"/>
  <c r="Z588" i="9" s="1"/>
  <c r="U587" i="9"/>
  <c r="Z587" i="9" s="1"/>
  <c r="U586" i="9"/>
  <c r="Z586" i="9" s="1"/>
  <c r="U585" i="9"/>
  <c r="Z585" i="9" s="1"/>
  <c r="U584" i="9"/>
  <c r="Z584" i="9" s="1"/>
  <c r="U583" i="9"/>
  <c r="Z583" i="9" s="1"/>
  <c r="U582" i="9"/>
  <c r="Z582" i="9" s="1"/>
  <c r="U581" i="9"/>
  <c r="Z581" i="9" s="1"/>
  <c r="U580" i="9"/>
  <c r="Z580" i="9" s="1"/>
  <c r="U579" i="9"/>
  <c r="Z579" i="9" s="1"/>
  <c r="U578" i="9"/>
  <c r="Z578" i="9" s="1"/>
  <c r="U577" i="9"/>
  <c r="Z577" i="9" s="1"/>
  <c r="U576" i="9"/>
  <c r="Z576" i="9" s="1"/>
  <c r="U575" i="9"/>
  <c r="Z575" i="9" s="1"/>
  <c r="U475" i="9"/>
  <c r="Z475" i="9" s="1"/>
  <c r="U474" i="9"/>
  <c r="Z474" i="9" s="1"/>
  <c r="U473" i="9"/>
  <c r="Z473" i="9" s="1"/>
  <c r="U472" i="9"/>
  <c r="Z472" i="9" s="1"/>
  <c r="U471" i="9"/>
  <c r="Z471" i="9" s="1"/>
  <c r="U470" i="9"/>
  <c r="Z470" i="9" s="1"/>
  <c r="U469" i="9"/>
  <c r="Z469" i="9" s="1"/>
  <c r="U468" i="9"/>
  <c r="Z468" i="9" s="1"/>
  <c r="U467" i="9"/>
  <c r="Z467" i="9" s="1"/>
  <c r="U466" i="9"/>
  <c r="Z466" i="9" s="1"/>
  <c r="U465" i="9"/>
  <c r="Z465" i="9" s="1"/>
  <c r="U464" i="9"/>
  <c r="Z464" i="9" s="1"/>
  <c r="U463" i="9"/>
  <c r="Z463" i="9" s="1"/>
  <c r="U462" i="9"/>
  <c r="Z462" i="9" s="1"/>
  <c r="U461" i="9"/>
  <c r="Z461" i="9" s="1"/>
  <c r="U460" i="9"/>
  <c r="Z460" i="9" s="1"/>
  <c r="U459" i="9"/>
  <c r="Z459" i="9" s="1"/>
  <c r="U458" i="9"/>
  <c r="Z458" i="9" s="1"/>
  <c r="U457" i="9"/>
  <c r="Z457" i="9" s="1"/>
  <c r="U456" i="9"/>
  <c r="Z456" i="9" s="1"/>
  <c r="U455" i="9"/>
  <c r="Z455" i="9" s="1"/>
  <c r="U454" i="9"/>
  <c r="Z454" i="9" s="1"/>
  <c r="U453" i="9"/>
  <c r="Z453" i="9" s="1"/>
  <c r="U452" i="9"/>
  <c r="Z452" i="9" s="1"/>
  <c r="U451" i="9"/>
  <c r="Z451" i="9" s="1"/>
  <c r="U450" i="9"/>
  <c r="Z450" i="9" s="1"/>
  <c r="U449" i="9"/>
  <c r="Z449" i="9" s="1"/>
  <c r="U448" i="9"/>
  <c r="Z448" i="9" s="1"/>
  <c r="U447" i="9"/>
  <c r="Z447" i="9" s="1"/>
  <c r="U446" i="9"/>
  <c r="Z446" i="9" s="1"/>
  <c r="U336" i="9"/>
  <c r="Z336" i="9" s="1"/>
  <c r="U335" i="9"/>
  <c r="Z335" i="9" s="1"/>
  <c r="U334" i="9"/>
  <c r="Z334" i="9" s="1"/>
  <c r="U333" i="9"/>
  <c r="Z333" i="9" s="1"/>
  <c r="U332" i="9"/>
  <c r="Z332" i="9" s="1"/>
  <c r="U331" i="9"/>
  <c r="Z331" i="9" s="1"/>
  <c r="U330" i="9"/>
  <c r="Z330" i="9" s="1"/>
  <c r="U329" i="9"/>
  <c r="Z329" i="9" s="1"/>
  <c r="U328" i="9"/>
  <c r="Z328" i="9" s="1"/>
  <c r="U327" i="9"/>
  <c r="Z327" i="9" s="1"/>
  <c r="U326" i="9"/>
  <c r="Z326" i="9" s="1"/>
  <c r="U325" i="9"/>
  <c r="Z325" i="9" s="1"/>
  <c r="U324" i="9"/>
  <c r="Z324" i="9" s="1"/>
  <c r="U323" i="9"/>
  <c r="Z323" i="9" s="1"/>
  <c r="U322" i="9"/>
  <c r="Z322" i="9" s="1"/>
  <c r="U321" i="9"/>
  <c r="Z321" i="9" s="1"/>
  <c r="U320" i="9"/>
  <c r="Z320" i="9" s="1"/>
  <c r="U319" i="9"/>
  <c r="Z319" i="9" s="1"/>
  <c r="U318" i="9"/>
  <c r="Z318" i="9" s="1"/>
  <c r="U317" i="9"/>
  <c r="Z317" i="9" s="1"/>
  <c r="U316" i="9"/>
  <c r="Z316" i="9" s="1"/>
  <c r="U315" i="9"/>
  <c r="Z315" i="9" s="1"/>
  <c r="U314" i="9"/>
  <c r="Z314" i="9" s="1"/>
  <c r="U313" i="9"/>
  <c r="Z313" i="9" s="1"/>
  <c r="U312" i="9"/>
  <c r="Z312" i="9" s="1"/>
  <c r="U311" i="9"/>
  <c r="Z311" i="9" s="1"/>
  <c r="U310" i="9"/>
  <c r="Z310" i="9" s="1"/>
  <c r="U309" i="9"/>
  <c r="Z309" i="9" s="1"/>
  <c r="U308" i="9"/>
  <c r="Z308" i="9" s="1"/>
  <c r="U307" i="9"/>
  <c r="Z307" i="9" s="1"/>
  <c r="U306" i="9"/>
  <c r="Z306" i="9" s="1"/>
  <c r="U305" i="9"/>
  <c r="Z305" i="9" s="1"/>
  <c r="U304" i="9"/>
  <c r="Z304" i="9" s="1"/>
  <c r="U303" i="9"/>
  <c r="Z303" i="9" s="1"/>
  <c r="U133" i="9"/>
  <c r="Z133" i="9" s="1"/>
  <c r="U132" i="9"/>
  <c r="Z132" i="9" s="1"/>
  <c r="U131" i="9"/>
  <c r="Z131" i="9" s="1"/>
  <c r="U130" i="9"/>
  <c r="Z130" i="9" s="1"/>
  <c r="U129" i="9"/>
  <c r="Z129" i="9" s="1"/>
  <c r="U128" i="9"/>
  <c r="Z128" i="9" s="1"/>
  <c r="U127" i="9"/>
  <c r="Z127" i="9" s="1"/>
  <c r="U126" i="9"/>
  <c r="Z126" i="9" s="1"/>
  <c r="U125" i="9"/>
  <c r="Z125" i="9" s="1"/>
  <c r="U124" i="9"/>
  <c r="Z124" i="9" s="1"/>
  <c r="U87" i="9"/>
  <c r="Z87" i="9" s="1"/>
  <c r="U86" i="9"/>
  <c r="Z86" i="9" s="1"/>
  <c r="U85" i="9"/>
  <c r="Z85" i="9" s="1"/>
  <c r="U84" i="9"/>
  <c r="Z84" i="9" s="1"/>
  <c r="U83" i="9"/>
  <c r="Z83" i="9" s="1"/>
  <c r="U82" i="9"/>
  <c r="Z82" i="9" s="1"/>
  <c r="T547" i="9"/>
  <c r="U547" i="9" s="1"/>
  <c r="T546" i="9"/>
  <c r="T545" i="9"/>
  <c r="U545" i="9" s="1"/>
  <c r="T544" i="9"/>
  <c r="U544" i="9" s="1"/>
  <c r="T543" i="9"/>
  <c r="U543" i="9" s="1"/>
  <c r="T542" i="9"/>
  <c r="T541" i="9"/>
  <c r="U541" i="9" s="1"/>
  <c r="T540" i="9"/>
  <c r="U540" i="9" s="1"/>
  <c r="T539" i="9"/>
  <c r="U539" i="9" s="1"/>
  <c r="T538" i="9"/>
  <c r="T537" i="9"/>
  <c r="U537" i="9" s="1"/>
  <c r="T536" i="9"/>
  <c r="U536" i="9" s="1"/>
  <c r="T535" i="9"/>
  <c r="T408" i="9"/>
  <c r="U408" i="9" s="1"/>
  <c r="T407" i="9"/>
  <c r="T406" i="9"/>
  <c r="U406" i="9" s="1"/>
  <c r="T405" i="9"/>
  <c r="T404" i="9"/>
  <c r="U404" i="9" s="1"/>
  <c r="T403" i="9"/>
  <c r="T402" i="9"/>
  <c r="U402" i="9" s="1"/>
  <c r="T401" i="9"/>
  <c r="T400" i="9"/>
  <c r="U400" i="9" s="1"/>
  <c r="T399" i="9"/>
  <c r="T398" i="9"/>
  <c r="U398" i="9" s="1"/>
  <c r="T397" i="9"/>
  <c r="T396" i="9"/>
  <c r="U396" i="9" s="1"/>
  <c r="T395" i="9"/>
  <c r="T394" i="9"/>
  <c r="U394" i="9" s="1"/>
  <c r="T393" i="9"/>
  <c r="T392" i="9"/>
  <c r="U392" i="9" s="1"/>
  <c r="T391" i="9"/>
  <c r="T390" i="9"/>
  <c r="U390" i="9" s="1"/>
  <c r="T389" i="9"/>
  <c r="T388" i="9"/>
  <c r="U388" i="9" s="1"/>
  <c r="T387" i="9"/>
  <c r="T386" i="9"/>
  <c r="U386" i="9" s="1"/>
  <c r="T385" i="9"/>
  <c r="T384" i="9"/>
  <c r="U384" i="9" s="1"/>
  <c r="T383" i="9"/>
  <c r="T382" i="9"/>
  <c r="U382" i="9" s="1"/>
  <c r="T381" i="9"/>
  <c r="T380" i="9"/>
  <c r="U380" i="9" s="1"/>
  <c r="T379" i="9"/>
  <c r="T378" i="9"/>
  <c r="T365" i="9"/>
  <c r="T269" i="9"/>
  <c r="T268" i="9"/>
  <c r="U268" i="9" s="1"/>
  <c r="T267" i="9"/>
  <c r="U267" i="9" s="1"/>
  <c r="T266" i="9"/>
  <c r="U266" i="9" s="1"/>
  <c r="T265" i="9"/>
  <c r="T264" i="9"/>
  <c r="U264" i="9" s="1"/>
  <c r="T263" i="9"/>
  <c r="U263" i="9" s="1"/>
  <c r="T262" i="9"/>
  <c r="U262" i="9" s="1"/>
  <c r="T261" i="9"/>
  <c r="T260" i="9"/>
  <c r="U260" i="9" s="1"/>
  <c r="T259" i="9"/>
  <c r="U259" i="9" s="1"/>
  <c r="T258" i="9"/>
  <c r="U258" i="9" s="1"/>
  <c r="T257" i="9"/>
  <c r="T256" i="9"/>
  <c r="U256" i="9" s="1"/>
  <c r="T255" i="9"/>
  <c r="U255" i="9" s="1"/>
  <c r="T254" i="9"/>
  <c r="U254" i="9" s="1"/>
  <c r="T253" i="9"/>
  <c r="T252" i="9"/>
  <c r="U252" i="9" s="1"/>
  <c r="T251" i="9"/>
  <c r="U251" i="9" s="1"/>
  <c r="T250" i="9"/>
  <c r="U250" i="9" s="1"/>
  <c r="T249" i="9"/>
  <c r="T248" i="9"/>
  <c r="U248" i="9" s="1"/>
  <c r="T247" i="9"/>
  <c r="U247" i="9" s="1"/>
  <c r="T246" i="9"/>
  <c r="U246" i="9" s="1"/>
  <c r="T245" i="9"/>
  <c r="T244" i="9"/>
  <c r="U244" i="9" s="1"/>
  <c r="N244" i="9" s="1"/>
  <c r="AB244" i="9" s="1"/>
  <c r="T243" i="9"/>
  <c r="U243" i="9" s="1"/>
  <c r="N243" i="9" s="1"/>
  <c r="AB243" i="9" s="1"/>
  <c r="T242" i="9"/>
  <c r="U242" i="9" s="1"/>
  <c r="N242" i="9" s="1"/>
  <c r="AB242" i="9" s="1"/>
  <c r="T241" i="9"/>
  <c r="T240" i="9"/>
  <c r="U240" i="9" s="1"/>
  <c r="N240" i="9" s="1"/>
  <c r="AB240" i="9" s="1"/>
  <c r="T239" i="9"/>
  <c r="U239" i="9" s="1"/>
  <c r="N239" i="9" s="1"/>
  <c r="AB239" i="9" s="1"/>
  <c r="T238" i="9"/>
  <c r="U238" i="9" s="1"/>
  <c r="N238" i="9" s="1"/>
  <c r="AB238" i="9" s="1"/>
  <c r="T237" i="9"/>
  <c r="T236" i="9"/>
  <c r="U236" i="9" s="1"/>
  <c r="N236" i="9" s="1"/>
  <c r="AB236" i="9" s="1"/>
  <c r="T235" i="9"/>
  <c r="U235" i="9" s="1"/>
  <c r="N235" i="9" s="1"/>
  <c r="AB235" i="9" s="1"/>
  <c r="T234" i="9"/>
  <c r="U234" i="9" s="1"/>
  <c r="N234" i="9" s="1"/>
  <c r="AB234" i="9" s="1"/>
  <c r="T233" i="9"/>
  <c r="T232" i="9"/>
  <c r="U232" i="9" s="1"/>
  <c r="N232" i="9" s="1"/>
  <c r="AB232" i="9" s="1"/>
  <c r="T231" i="9"/>
  <c r="U231" i="9" s="1"/>
  <c r="N231" i="9" s="1"/>
  <c r="AB231" i="9" s="1"/>
  <c r="T230" i="9"/>
  <c r="U230" i="9" s="1"/>
  <c r="N230" i="9" s="1"/>
  <c r="AB230" i="9" s="1"/>
  <c r="T229" i="9"/>
  <c r="T228" i="9"/>
  <c r="U228" i="9" s="1"/>
  <c r="N228" i="9" s="1"/>
  <c r="AB228" i="9" s="1"/>
  <c r="T227" i="9"/>
  <c r="U227" i="9" s="1"/>
  <c r="N227" i="9" s="1"/>
  <c r="AB227" i="9" s="1"/>
  <c r="T226" i="9"/>
  <c r="U226" i="9" s="1"/>
  <c r="N226" i="9" s="1"/>
  <c r="AB226" i="9" s="1"/>
  <c r="T225" i="9"/>
  <c r="T224" i="9"/>
  <c r="U224" i="9" s="1"/>
  <c r="N224" i="9" s="1"/>
  <c r="AB224" i="9" s="1"/>
  <c r="T223" i="9"/>
  <c r="U223" i="9" s="1"/>
  <c r="N223" i="9" s="1"/>
  <c r="AB223" i="9" s="1"/>
  <c r="T222" i="9"/>
  <c r="U222" i="9" s="1"/>
  <c r="N222" i="9" s="1"/>
  <c r="AB222" i="9" s="1"/>
  <c r="T221" i="9"/>
  <c r="T220" i="9"/>
  <c r="U220" i="9" s="1"/>
  <c r="N220" i="9" s="1"/>
  <c r="AB220" i="9" s="1"/>
  <c r="T219" i="9"/>
  <c r="U219" i="9" s="1"/>
  <c r="N219" i="9" s="1"/>
  <c r="AB219" i="9" s="1"/>
  <c r="T218" i="9"/>
  <c r="U218" i="9" s="1"/>
  <c r="N218" i="9" s="1"/>
  <c r="AB218" i="9" s="1"/>
  <c r="T217" i="9"/>
  <c r="T216" i="9"/>
  <c r="U216" i="9" s="1"/>
  <c r="N216" i="9" s="1"/>
  <c r="AB216" i="9" s="1"/>
  <c r="T215" i="9"/>
  <c r="U215" i="9" s="1"/>
  <c r="N215" i="9" s="1"/>
  <c r="AB215" i="9" s="1"/>
  <c r="T214" i="9"/>
  <c r="U214" i="9" s="1"/>
  <c r="N214" i="9" s="1"/>
  <c r="AB214" i="9" s="1"/>
  <c r="T213" i="9"/>
  <c r="T212" i="9"/>
  <c r="U212" i="9" s="1"/>
  <c r="N212" i="9" s="1"/>
  <c r="AB212" i="9" s="1"/>
  <c r="T211" i="9"/>
  <c r="U211" i="9" s="1"/>
  <c r="N211" i="9" s="1"/>
  <c r="AB211" i="9" s="1"/>
  <c r="T210" i="9"/>
  <c r="U210" i="9" s="1"/>
  <c r="N210" i="9" s="1"/>
  <c r="AB210" i="9" s="1"/>
  <c r="T209" i="9"/>
  <c r="T208" i="9"/>
  <c r="U208" i="9" s="1"/>
  <c r="N208" i="9" s="1"/>
  <c r="AB208" i="9" s="1"/>
  <c r="T207" i="9"/>
  <c r="U207" i="9" s="1"/>
  <c r="N207" i="9" s="1"/>
  <c r="AB207" i="9" s="1"/>
  <c r="T206" i="9"/>
  <c r="U206" i="9" s="1"/>
  <c r="N206" i="9" s="1"/>
  <c r="AB206" i="9" s="1"/>
  <c r="T205" i="9"/>
  <c r="T204" i="9"/>
  <c r="U204" i="9" s="1"/>
  <c r="N204" i="9" s="1"/>
  <c r="AB204" i="9" s="1"/>
  <c r="T203" i="9"/>
  <c r="U203" i="9" s="1"/>
  <c r="N203" i="9" s="1"/>
  <c r="AB203" i="9" s="1"/>
  <c r="T202" i="9"/>
  <c r="U202" i="9" s="1"/>
  <c r="N202" i="9" s="1"/>
  <c r="AB202" i="9" s="1"/>
  <c r="T201" i="9"/>
  <c r="T200" i="9"/>
  <c r="U109" i="9"/>
  <c r="Z109" i="9" s="1"/>
  <c r="U70" i="9"/>
  <c r="Z70" i="9" s="1"/>
  <c r="M1026" i="9"/>
  <c r="M1025" i="9"/>
  <c r="M1024" i="9"/>
  <c r="M1023" i="9"/>
  <c r="M1022" i="9"/>
  <c r="M1021" i="9"/>
  <c r="M1020" i="9"/>
  <c r="M1019" i="9"/>
  <c r="M1018" i="9"/>
  <c r="M902" i="9"/>
  <c r="M901" i="9"/>
  <c r="M900" i="9"/>
  <c r="M899" i="9"/>
  <c r="M898" i="9"/>
  <c r="M897" i="9"/>
  <c r="M896" i="9"/>
  <c r="M895" i="9"/>
  <c r="M894" i="9"/>
  <c r="M893" i="9"/>
  <c r="M892" i="9"/>
  <c r="M891" i="9"/>
  <c r="M890" i="9"/>
  <c r="M889" i="9"/>
  <c r="M888" i="9"/>
  <c r="M887" i="9"/>
  <c r="M886" i="9"/>
  <c r="M885" i="9"/>
  <c r="M884" i="9"/>
  <c r="M883" i="9"/>
  <c r="M882" i="9"/>
  <c r="M881" i="9"/>
  <c r="M880" i="9"/>
  <c r="M879" i="9"/>
  <c r="M878" i="9"/>
  <c r="M877" i="9"/>
  <c r="M876" i="9"/>
  <c r="M875" i="9"/>
  <c r="M874" i="9"/>
  <c r="M873" i="9"/>
  <c r="M872" i="9"/>
  <c r="M871" i="9"/>
  <c r="M77" i="9"/>
  <c r="U77" i="9" s="1"/>
  <c r="Z77" i="9" s="1"/>
  <c r="M78" i="9"/>
  <c r="AA78" i="9" s="1"/>
  <c r="M79" i="9"/>
  <c r="U79" i="9" s="1"/>
  <c r="Z79" i="9" s="1"/>
  <c r="M80" i="9"/>
  <c r="AA80" i="9" s="1"/>
  <c r="M81" i="9"/>
  <c r="U81" i="9" s="1"/>
  <c r="Z81" i="9" s="1"/>
  <c r="N599" i="9"/>
  <c r="S599" i="9" s="1"/>
  <c r="AC599" i="9" s="1"/>
  <c r="N598" i="9"/>
  <c r="S598" i="9" s="1"/>
  <c r="AC598" i="9" s="1"/>
  <c r="N597" i="9"/>
  <c r="S597" i="9" s="1"/>
  <c r="AC597" i="9" s="1"/>
  <c r="N596" i="9"/>
  <c r="S596" i="9" s="1"/>
  <c r="AC596" i="9" s="1"/>
  <c r="N595" i="9"/>
  <c r="S595" i="9" s="1"/>
  <c r="AC595" i="9" s="1"/>
  <c r="N594" i="9"/>
  <c r="S594" i="9" s="1"/>
  <c r="AC594" i="9" s="1"/>
  <c r="N593" i="9"/>
  <c r="S593" i="9" s="1"/>
  <c r="AC593" i="9" s="1"/>
  <c r="N592" i="9"/>
  <c r="S592" i="9" s="1"/>
  <c r="AC592" i="9" s="1"/>
  <c r="N591" i="9"/>
  <c r="S591" i="9" s="1"/>
  <c r="AC591" i="9" s="1"/>
  <c r="N590" i="9"/>
  <c r="S590" i="9" s="1"/>
  <c r="AC590" i="9" s="1"/>
  <c r="N589" i="9"/>
  <c r="S589" i="9" s="1"/>
  <c r="AC589" i="9" s="1"/>
  <c r="N588" i="9"/>
  <c r="S588" i="9" s="1"/>
  <c r="AC588" i="9" s="1"/>
  <c r="N587" i="9"/>
  <c r="S587" i="9" s="1"/>
  <c r="AC587" i="9" s="1"/>
  <c r="N586" i="9"/>
  <c r="S586" i="9" s="1"/>
  <c r="AC586" i="9" s="1"/>
  <c r="N585" i="9"/>
  <c r="S585" i="9" s="1"/>
  <c r="AC585" i="9" s="1"/>
  <c r="N584" i="9"/>
  <c r="S584" i="9" s="1"/>
  <c r="AC584" i="9" s="1"/>
  <c r="N583" i="9"/>
  <c r="S583" i="9" s="1"/>
  <c r="AC583" i="9" s="1"/>
  <c r="N582" i="9"/>
  <c r="S582" i="9" s="1"/>
  <c r="AC582" i="9" s="1"/>
  <c r="N581" i="9"/>
  <c r="S581" i="9" s="1"/>
  <c r="AC581" i="9" s="1"/>
  <c r="N580" i="9"/>
  <c r="S580" i="9" s="1"/>
  <c r="AC580" i="9" s="1"/>
  <c r="N579" i="9"/>
  <c r="S579" i="9" s="1"/>
  <c r="AC579" i="9" s="1"/>
  <c r="N578" i="9"/>
  <c r="S578" i="9" s="1"/>
  <c r="AC578" i="9" s="1"/>
  <c r="N577" i="9"/>
  <c r="S577" i="9" s="1"/>
  <c r="AC577" i="9" s="1"/>
  <c r="N576" i="9"/>
  <c r="S576" i="9" s="1"/>
  <c r="AC576" i="9" s="1"/>
  <c r="N575" i="9"/>
  <c r="S575" i="9" s="1"/>
  <c r="AC575" i="9" s="1"/>
  <c r="N475" i="9"/>
  <c r="S475" i="9" s="1"/>
  <c r="AC475" i="9" s="1"/>
  <c r="N474" i="9"/>
  <c r="S474" i="9" s="1"/>
  <c r="AC474" i="9" s="1"/>
  <c r="N473" i="9"/>
  <c r="S473" i="9" s="1"/>
  <c r="AC473" i="9" s="1"/>
  <c r="N472" i="9"/>
  <c r="S472" i="9" s="1"/>
  <c r="AC472" i="9" s="1"/>
  <c r="N471" i="9"/>
  <c r="S471" i="9" s="1"/>
  <c r="AC471" i="9" s="1"/>
  <c r="N470" i="9"/>
  <c r="S470" i="9" s="1"/>
  <c r="AC470" i="9" s="1"/>
  <c r="N469" i="9"/>
  <c r="S469" i="9" s="1"/>
  <c r="AC469" i="9" s="1"/>
  <c r="N468" i="9"/>
  <c r="S468" i="9" s="1"/>
  <c r="AC468" i="9" s="1"/>
  <c r="N467" i="9"/>
  <c r="S467" i="9" s="1"/>
  <c r="AC467" i="9" s="1"/>
  <c r="N466" i="9"/>
  <c r="S466" i="9" s="1"/>
  <c r="AC466" i="9" s="1"/>
  <c r="N465" i="9"/>
  <c r="S465" i="9" s="1"/>
  <c r="AC465" i="9" s="1"/>
  <c r="N464" i="9"/>
  <c r="S464" i="9" s="1"/>
  <c r="AC464" i="9" s="1"/>
  <c r="N463" i="9"/>
  <c r="S463" i="9" s="1"/>
  <c r="AC463" i="9" s="1"/>
  <c r="N462" i="9"/>
  <c r="S462" i="9" s="1"/>
  <c r="AC462" i="9" s="1"/>
  <c r="N461" i="9"/>
  <c r="S461" i="9" s="1"/>
  <c r="AC461" i="9" s="1"/>
  <c r="N460" i="9"/>
  <c r="S460" i="9" s="1"/>
  <c r="AC460" i="9" s="1"/>
  <c r="N459" i="9"/>
  <c r="S459" i="9" s="1"/>
  <c r="AC459" i="9" s="1"/>
  <c r="N458" i="9"/>
  <c r="S458" i="9" s="1"/>
  <c r="AC458" i="9" s="1"/>
  <c r="N457" i="9"/>
  <c r="S457" i="9" s="1"/>
  <c r="AC457" i="9" s="1"/>
  <c r="N456" i="9"/>
  <c r="S456" i="9" s="1"/>
  <c r="AC456" i="9" s="1"/>
  <c r="N455" i="9"/>
  <c r="S455" i="9" s="1"/>
  <c r="AC455" i="9" s="1"/>
  <c r="N454" i="9"/>
  <c r="S454" i="9" s="1"/>
  <c r="AC454" i="9" s="1"/>
  <c r="N453" i="9"/>
  <c r="S453" i="9" s="1"/>
  <c r="AC453" i="9" s="1"/>
  <c r="N452" i="9"/>
  <c r="S452" i="9" s="1"/>
  <c r="AC452" i="9" s="1"/>
  <c r="N451" i="9"/>
  <c r="S451" i="9" s="1"/>
  <c r="AC451" i="9" s="1"/>
  <c r="N450" i="9"/>
  <c r="S450" i="9" s="1"/>
  <c r="AC450" i="9" s="1"/>
  <c r="N449" i="9"/>
  <c r="S449" i="9" s="1"/>
  <c r="AC449" i="9" s="1"/>
  <c r="N448" i="9"/>
  <c r="S448" i="9" s="1"/>
  <c r="AC448" i="9" s="1"/>
  <c r="N447" i="9"/>
  <c r="S447" i="9" s="1"/>
  <c r="AC447" i="9" s="1"/>
  <c r="N446" i="9"/>
  <c r="S446" i="9" s="1"/>
  <c r="AC446" i="9" s="1"/>
  <c r="N336" i="9"/>
  <c r="AB336" i="9" s="1"/>
  <c r="N335" i="9"/>
  <c r="AB335" i="9" s="1"/>
  <c r="N334" i="9"/>
  <c r="AB334" i="9" s="1"/>
  <c r="N333" i="9"/>
  <c r="S333" i="9" s="1"/>
  <c r="AC333" i="9" s="1"/>
  <c r="N332" i="9"/>
  <c r="AB332" i="9" s="1"/>
  <c r="N331" i="9"/>
  <c r="AB331" i="9" s="1"/>
  <c r="N330" i="9"/>
  <c r="AB330" i="9" s="1"/>
  <c r="N329" i="9"/>
  <c r="S329" i="9" s="1"/>
  <c r="AC329" i="9" s="1"/>
  <c r="N328" i="9"/>
  <c r="AB328" i="9" s="1"/>
  <c r="N327" i="9"/>
  <c r="AB327" i="9" s="1"/>
  <c r="N326" i="9"/>
  <c r="AB326" i="9" s="1"/>
  <c r="N325" i="9"/>
  <c r="S325" i="9" s="1"/>
  <c r="AC325" i="9" s="1"/>
  <c r="N324" i="9"/>
  <c r="AB324" i="9" s="1"/>
  <c r="N323" i="9"/>
  <c r="AB323" i="9" s="1"/>
  <c r="N322" i="9"/>
  <c r="AB322" i="9" s="1"/>
  <c r="N321" i="9"/>
  <c r="S321" i="9" s="1"/>
  <c r="AC321" i="9" s="1"/>
  <c r="N320" i="9"/>
  <c r="AB320" i="9" s="1"/>
  <c r="N319" i="9"/>
  <c r="AB319" i="9" s="1"/>
  <c r="N318" i="9"/>
  <c r="AB318" i="9" s="1"/>
  <c r="N317" i="9"/>
  <c r="S317" i="9" s="1"/>
  <c r="AC317" i="9" s="1"/>
  <c r="N316" i="9"/>
  <c r="AB316" i="9" s="1"/>
  <c r="N315" i="9"/>
  <c r="AB315" i="9" s="1"/>
  <c r="N314" i="9"/>
  <c r="AB314" i="9" s="1"/>
  <c r="N313" i="9"/>
  <c r="S313" i="9" s="1"/>
  <c r="AC313" i="9" s="1"/>
  <c r="N312" i="9"/>
  <c r="AB312" i="9" s="1"/>
  <c r="N311" i="9"/>
  <c r="AB311" i="9" s="1"/>
  <c r="N310" i="9"/>
  <c r="AB310" i="9" s="1"/>
  <c r="N309" i="9"/>
  <c r="S309" i="9" s="1"/>
  <c r="AC309" i="9" s="1"/>
  <c r="N308" i="9"/>
  <c r="AB308" i="9" s="1"/>
  <c r="N307" i="9"/>
  <c r="AB307" i="9" s="1"/>
  <c r="N306" i="9"/>
  <c r="AB306" i="9" s="1"/>
  <c r="N305" i="9"/>
  <c r="S305" i="9" s="1"/>
  <c r="AC305" i="9" s="1"/>
  <c r="N304" i="9"/>
  <c r="AB304" i="9" s="1"/>
  <c r="N303" i="9"/>
  <c r="AB303" i="9" s="1"/>
  <c r="N133" i="9"/>
  <c r="AB133" i="9" s="1"/>
  <c r="N132" i="9"/>
  <c r="AB132" i="9" s="1"/>
  <c r="N131" i="9"/>
  <c r="AB131" i="9" s="1"/>
  <c r="N130" i="9"/>
  <c r="S130" i="9" s="1"/>
  <c r="AC130" i="9" s="1"/>
  <c r="N129" i="9"/>
  <c r="AB129" i="9" s="1"/>
  <c r="N128" i="9"/>
  <c r="AB128" i="9" s="1"/>
  <c r="N127" i="9"/>
  <c r="AB127" i="9" s="1"/>
  <c r="N126" i="9"/>
  <c r="S126" i="9" s="1"/>
  <c r="AC126" i="9" s="1"/>
  <c r="N125" i="9"/>
  <c r="AB125" i="9" s="1"/>
  <c r="N124" i="9"/>
  <c r="AB124" i="9" s="1"/>
  <c r="N87" i="9"/>
  <c r="S87" i="9" s="1"/>
  <c r="AC87" i="9" s="1"/>
  <c r="N86" i="9"/>
  <c r="AB86" i="9" s="1"/>
  <c r="N85" i="9"/>
  <c r="S85" i="9" s="1"/>
  <c r="AC85" i="9" s="1"/>
  <c r="N84" i="9"/>
  <c r="AB84" i="9" s="1"/>
  <c r="N83" i="9"/>
  <c r="AB83" i="9" s="1"/>
  <c r="N82" i="9"/>
  <c r="AB82" i="9" s="1"/>
  <c r="N81" i="9"/>
  <c r="AB81" i="9" s="1"/>
  <c r="N80" i="9"/>
  <c r="AB80" i="9" s="1"/>
  <c r="N79" i="9"/>
  <c r="AB79" i="9" s="1"/>
  <c r="N78" i="9"/>
  <c r="S78" i="9" s="1"/>
  <c r="AC78" i="9" s="1"/>
  <c r="N77" i="9"/>
  <c r="AB77" i="9" s="1"/>
  <c r="N70" i="9"/>
  <c r="AB70" i="9" s="1"/>
  <c r="N1033" i="9"/>
  <c r="S1033" i="9" s="1"/>
  <c r="AC1033" i="9" s="1"/>
  <c r="N1032" i="9"/>
  <c r="S1032" i="9" s="1"/>
  <c r="AC1032" i="9" s="1"/>
  <c r="N1031" i="9"/>
  <c r="S1031" i="9" s="1"/>
  <c r="AC1031" i="9" s="1"/>
  <c r="N914" i="9"/>
  <c r="S914" i="9" s="1"/>
  <c r="AC914" i="9" s="1"/>
  <c r="N913" i="9"/>
  <c r="S913" i="9" s="1"/>
  <c r="AC913" i="9" s="1"/>
  <c r="N912" i="9"/>
  <c r="S912" i="9" s="1"/>
  <c r="AC912" i="9" s="1"/>
  <c r="AA620" i="9"/>
  <c r="AB504" i="9"/>
  <c r="AA504" i="9" s="1"/>
  <c r="AB347" i="9"/>
  <c r="AA347" i="9" s="1"/>
  <c r="AB346" i="9"/>
  <c r="AA346" i="9" s="1"/>
  <c r="AB345" i="9"/>
  <c r="AA345" i="9" s="1"/>
  <c r="N1075" i="9"/>
  <c r="N1030" i="9"/>
  <c r="S1030" i="9" s="1"/>
  <c r="AC1030" i="9" s="1"/>
  <c r="N1029" i="9"/>
  <c r="S1029" i="9" s="1"/>
  <c r="AC1029" i="9" s="1"/>
  <c r="N1028" i="9"/>
  <c r="S1028" i="9" s="1"/>
  <c r="AC1028" i="9" s="1"/>
  <c r="N1027" i="9"/>
  <c r="S1027" i="9" s="1"/>
  <c r="AC1027" i="9" s="1"/>
  <c r="N911" i="9"/>
  <c r="S911" i="9" s="1"/>
  <c r="AC911" i="9" s="1"/>
  <c r="N910" i="9"/>
  <c r="S910" i="9" s="1"/>
  <c r="AC910" i="9" s="1"/>
  <c r="N909" i="9"/>
  <c r="S909" i="9" s="1"/>
  <c r="AC909" i="9" s="1"/>
  <c r="AB619" i="9"/>
  <c r="AA619" i="9" s="1"/>
  <c r="AB503" i="9"/>
  <c r="AA503" i="9" s="1"/>
  <c r="AB1025" i="9"/>
  <c r="AB1026" i="9"/>
  <c r="AA1026" i="9" s="1"/>
  <c r="AA1025" i="9"/>
  <c r="N908" i="9"/>
  <c r="S908" i="9" s="1"/>
  <c r="AC908" i="9" s="1"/>
  <c r="N907" i="9"/>
  <c r="S907" i="9" s="1"/>
  <c r="AC907" i="9" s="1"/>
  <c r="N906" i="9"/>
  <c r="S906" i="9" s="1"/>
  <c r="AC906" i="9" s="1"/>
  <c r="N905" i="9"/>
  <c r="S905" i="9" s="1"/>
  <c r="AC905" i="9" s="1"/>
  <c r="N904" i="9"/>
  <c r="S904" i="9" s="1"/>
  <c r="AC904" i="9" s="1"/>
  <c r="N903" i="9"/>
  <c r="S903" i="9" s="1"/>
  <c r="AC903" i="9" s="1"/>
  <c r="AB618" i="9"/>
  <c r="AA618" i="9" s="1"/>
  <c r="AB502" i="9"/>
  <c r="AA502" i="9" s="1"/>
  <c r="AB501" i="9"/>
  <c r="AA501" i="9" s="1"/>
  <c r="AB902" i="9"/>
  <c r="AA902" i="9" s="1"/>
  <c r="AB500" i="9"/>
  <c r="AA500" i="9" s="1"/>
  <c r="AB617" i="9"/>
  <c r="AA617" i="9" s="1"/>
  <c r="AB499" i="9"/>
  <c r="AB498" i="9"/>
  <c r="AA499" i="9"/>
  <c r="AA498" i="9"/>
  <c r="AB497" i="9"/>
  <c r="AA497" i="9" s="1"/>
  <c r="AB901" i="9"/>
  <c r="AA901" i="9" s="1"/>
  <c r="AB900" i="9"/>
  <c r="AA900" i="9" s="1"/>
  <c r="AB616" i="9"/>
  <c r="AA616" i="9" s="1"/>
  <c r="N13" i="6"/>
  <c r="N9" i="6"/>
  <c r="M15" i="6"/>
  <c r="C46" i="4"/>
  <c r="L32" i="4"/>
  <c r="I30" i="4"/>
  <c r="J30" i="4" s="1"/>
  <c r="O20" i="8"/>
  <c r="Q10" i="21"/>
  <c r="Q9" i="21"/>
  <c r="Q45" i="21"/>
  <c r="R45" i="21" s="1"/>
  <c r="Q44" i="21"/>
  <c r="R44" i="21" s="1"/>
  <c r="Q43" i="21"/>
  <c r="R43" i="21" s="1"/>
  <c r="Q42" i="21"/>
  <c r="R42" i="21" s="1"/>
  <c r="P41" i="21"/>
  <c r="P22" i="21"/>
  <c r="P17" i="21"/>
  <c r="K40" i="21"/>
  <c r="P40" i="21" s="1"/>
  <c r="J40" i="21"/>
  <c r="H7" i="6"/>
  <c r="N7" i="6"/>
  <c r="H8" i="6"/>
  <c r="N8" i="6"/>
  <c r="H9" i="6"/>
  <c r="I9" i="6" s="1"/>
  <c r="H10" i="6"/>
  <c r="I10" i="6" s="1"/>
  <c r="N10" i="6"/>
  <c r="H11" i="6"/>
  <c r="N11" i="6"/>
  <c r="H12" i="6"/>
  <c r="N12" i="6"/>
  <c r="H13" i="6"/>
  <c r="I13" i="6" s="1"/>
  <c r="H14" i="6"/>
  <c r="I14" i="6" s="1"/>
  <c r="N14" i="6"/>
  <c r="E15" i="6"/>
  <c r="G15" i="6"/>
  <c r="H15" i="6"/>
  <c r="J15" i="6"/>
  <c r="K15" i="6"/>
  <c r="L5" i="9"/>
  <c r="T5" i="9"/>
  <c r="U5" i="9" s="1"/>
  <c r="V5" i="9"/>
  <c r="W5" i="9"/>
  <c r="AA5" i="9"/>
  <c r="L6" i="9"/>
  <c r="T6" i="9"/>
  <c r="AA6" i="9"/>
  <c r="K7" i="9"/>
  <c r="L7" i="9" s="1"/>
  <c r="T7" i="9"/>
  <c r="U7" i="9" s="1"/>
  <c r="N7" i="9" s="1"/>
  <c r="S7" i="9" s="1"/>
  <c r="AC7" i="9" s="1"/>
  <c r="AA7" i="9"/>
  <c r="K8" i="9"/>
  <c r="L8" i="9" s="1"/>
  <c r="T8" i="9"/>
  <c r="AA8" i="9"/>
  <c r="E9" i="9"/>
  <c r="F9" i="9"/>
  <c r="G9" i="9"/>
  <c r="I9" i="9"/>
  <c r="J9" i="9"/>
  <c r="J10" i="9"/>
  <c r="L10" i="9"/>
  <c r="T10" i="9"/>
  <c r="U10" i="9" s="1"/>
  <c r="W10" i="9"/>
  <c r="AA10" i="9"/>
  <c r="J11" i="9"/>
  <c r="L11" i="9"/>
  <c r="T11" i="9"/>
  <c r="U11" i="9" s="1"/>
  <c r="W11" i="9"/>
  <c r="AA11" i="9"/>
  <c r="L12" i="9"/>
  <c r="T12" i="9"/>
  <c r="U12" i="9" s="1"/>
  <c r="N12" i="9" s="1"/>
  <c r="AB12" i="9" s="1"/>
  <c r="AA12" i="9"/>
  <c r="J13" i="9"/>
  <c r="L13" i="9"/>
  <c r="T13" i="9"/>
  <c r="U13" i="9" s="1"/>
  <c r="N13" i="9" s="1"/>
  <c r="AB13" i="9" s="1"/>
  <c r="AA13" i="9"/>
  <c r="J14" i="9"/>
  <c r="L14" i="9"/>
  <c r="T14" i="9"/>
  <c r="U14" i="9" s="1"/>
  <c r="N14" i="9" s="1"/>
  <c r="AB14" i="9" s="1"/>
  <c r="AA14" i="9"/>
  <c r="J15" i="9"/>
  <c r="L15" i="9"/>
  <c r="T15" i="9"/>
  <c r="U15" i="9" s="1"/>
  <c r="N15" i="9" s="1"/>
  <c r="AB15" i="9" s="1"/>
  <c r="AA15" i="9"/>
  <c r="J16" i="9"/>
  <c r="L16" i="9"/>
  <c r="T16" i="9"/>
  <c r="U16" i="9" s="1"/>
  <c r="N16" i="9" s="1"/>
  <c r="AB16" i="9" s="1"/>
  <c r="AA16" i="9"/>
  <c r="L17" i="9"/>
  <c r="T17" i="9"/>
  <c r="U17" i="9" s="1"/>
  <c r="N17" i="9" s="1"/>
  <c r="AB17" i="9" s="1"/>
  <c r="AA17" i="9"/>
  <c r="L18" i="9"/>
  <c r="T18" i="9"/>
  <c r="U18" i="9" s="1"/>
  <c r="N18" i="9" s="1"/>
  <c r="AB18" i="9" s="1"/>
  <c r="AA18" i="9"/>
  <c r="K19" i="9"/>
  <c r="L19" i="9" s="1"/>
  <c r="T19" i="9"/>
  <c r="U19" i="9" s="1"/>
  <c r="N19" i="9" s="1"/>
  <c r="AB19" i="9" s="1"/>
  <c r="AA19" i="9"/>
  <c r="K20" i="9"/>
  <c r="L20" i="9" s="1"/>
  <c r="T20" i="9"/>
  <c r="U20" i="9" s="1"/>
  <c r="N20" i="9" s="1"/>
  <c r="AB20" i="9" s="1"/>
  <c r="AA20" i="9"/>
  <c r="K21" i="9"/>
  <c r="L21" i="9" s="1"/>
  <c r="T21" i="9"/>
  <c r="U21" i="9" s="1"/>
  <c r="N21" i="9" s="1"/>
  <c r="AB21" i="9" s="1"/>
  <c r="AA21" i="9"/>
  <c r="E22" i="9"/>
  <c r="F22" i="9"/>
  <c r="G22" i="9"/>
  <c r="J23" i="9"/>
  <c r="L23" i="9"/>
  <c r="T23" i="9"/>
  <c r="U23" i="9" s="1"/>
  <c r="AA23" i="9"/>
  <c r="L24" i="9"/>
  <c r="T24" i="9"/>
  <c r="U24" i="9" s="1"/>
  <c r="N24" i="9" s="1"/>
  <c r="AB24" i="9" s="1"/>
  <c r="AA24" i="9"/>
  <c r="L25" i="9"/>
  <c r="T25" i="9"/>
  <c r="U25" i="9" s="1"/>
  <c r="N25" i="9" s="1"/>
  <c r="AB25" i="9" s="1"/>
  <c r="AA25" i="9"/>
  <c r="L26" i="9"/>
  <c r="T26" i="9"/>
  <c r="U26" i="9" s="1"/>
  <c r="N26" i="9" s="1"/>
  <c r="AB26" i="9" s="1"/>
  <c r="AA26" i="9"/>
  <c r="L27" i="9"/>
  <c r="T27" i="9"/>
  <c r="U27" i="9" s="1"/>
  <c r="N27" i="9" s="1"/>
  <c r="AB27" i="9" s="1"/>
  <c r="AA27" i="9"/>
  <c r="L28" i="9"/>
  <c r="T28" i="9"/>
  <c r="U28" i="9" s="1"/>
  <c r="N28" i="9" s="1"/>
  <c r="AB28" i="9" s="1"/>
  <c r="AA28" i="9"/>
  <c r="U29" i="9"/>
  <c r="N29" i="9" s="1"/>
  <c r="AB29" i="9" s="1"/>
  <c r="AA29" i="9"/>
  <c r="U30" i="9"/>
  <c r="N30" i="9" s="1"/>
  <c r="AB30" i="9" s="1"/>
  <c r="AA30" i="9"/>
  <c r="U31" i="9"/>
  <c r="N31" i="9" s="1"/>
  <c r="AB31" i="9" s="1"/>
  <c r="AA31" i="9"/>
  <c r="E32" i="9"/>
  <c r="F32" i="9"/>
  <c r="G32" i="9"/>
  <c r="K32" i="9"/>
  <c r="I33" i="9"/>
  <c r="J33" i="9" s="1"/>
  <c r="L33" i="9"/>
  <c r="T33" i="9"/>
  <c r="U33" i="9" s="1"/>
  <c r="AA33" i="9"/>
  <c r="J34" i="9"/>
  <c r="L34" i="9"/>
  <c r="T34" i="9"/>
  <c r="U34" i="9" s="1"/>
  <c r="N34" i="9" s="1"/>
  <c r="AB34" i="9" s="1"/>
  <c r="AA34" i="9"/>
  <c r="J35" i="9"/>
  <c r="L35" i="9"/>
  <c r="T35" i="9"/>
  <c r="U35" i="9" s="1"/>
  <c r="N35" i="9" s="1"/>
  <c r="AB35" i="9" s="1"/>
  <c r="AA35" i="9"/>
  <c r="L36" i="9"/>
  <c r="T36" i="9"/>
  <c r="U36" i="9" s="1"/>
  <c r="N36" i="9" s="1"/>
  <c r="AB36" i="9" s="1"/>
  <c r="AA36" i="9"/>
  <c r="L37" i="9"/>
  <c r="T37" i="9"/>
  <c r="U37" i="9" s="1"/>
  <c r="N37" i="9" s="1"/>
  <c r="AB37" i="9" s="1"/>
  <c r="AA37" i="9"/>
  <c r="L38" i="9"/>
  <c r="T38" i="9"/>
  <c r="U38" i="9" s="1"/>
  <c r="N38" i="9" s="1"/>
  <c r="AB38" i="9" s="1"/>
  <c r="AA38" i="9"/>
  <c r="U39" i="9"/>
  <c r="N39" i="9" s="1"/>
  <c r="AB39" i="9" s="1"/>
  <c r="AA39" i="9"/>
  <c r="L40" i="9"/>
  <c r="U40" i="9"/>
  <c r="N40" i="9" s="1"/>
  <c r="AB40" i="9" s="1"/>
  <c r="AA40" i="9"/>
  <c r="E41" i="9"/>
  <c r="F41" i="9"/>
  <c r="G41" i="9"/>
  <c r="K41" i="9"/>
  <c r="L42" i="9"/>
  <c r="T42" i="9"/>
  <c r="U42" i="9" s="1"/>
  <c r="AA42" i="9"/>
  <c r="L43" i="9"/>
  <c r="T43" i="9"/>
  <c r="U43" i="9" s="1"/>
  <c r="N43" i="9" s="1"/>
  <c r="AB43" i="9" s="1"/>
  <c r="AA43" i="9"/>
  <c r="L44" i="9"/>
  <c r="T44" i="9"/>
  <c r="U44" i="9" s="1"/>
  <c r="N44" i="9" s="1"/>
  <c r="AB44" i="9" s="1"/>
  <c r="AA44" i="9"/>
  <c r="L45" i="9"/>
  <c r="T45" i="9"/>
  <c r="U45" i="9" s="1"/>
  <c r="N45" i="9" s="1"/>
  <c r="AB45" i="9" s="1"/>
  <c r="AA45" i="9"/>
  <c r="L46" i="9"/>
  <c r="T46" i="9"/>
  <c r="U46" i="9" s="1"/>
  <c r="N46" i="9" s="1"/>
  <c r="AB46" i="9" s="1"/>
  <c r="AA46" i="9"/>
  <c r="L47" i="9"/>
  <c r="T47" i="9"/>
  <c r="U47" i="9" s="1"/>
  <c r="N47" i="9" s="1"/>
  <c r="AB47" i="9" s="1"/>
  <c r="AA47" i="9"/>
  <c r="L48" i="9"/>
  <c r="T48" i="9"/>
  <c r="U48" i="9" s="1"/>
  <c r="N48" i="9" s="1"/>
  <c r="AB48" i="9" s="1"/>
  <c r="AA48" i="9"/>
  <c r="L49" i="9"/>
  <c r="T49" i="9"/>
  <c r="U49" i="9" s="1"/>
  <c r="N49" i="9" s="1"/>
  <c r="AB49" i="9" s="1"/>
  <c r="AA49" i="9"/>
  <c r="L50" i="9"/>
  <c r="T50" i="9"/>
  <c r="U50" i="9" s="1"/>
  <c r="N50" i="9" s="1"/>
  <c r="AB50" i="9" s="1"/>
  <c r="AA50" i="9"/>
  <c r="K51" i="9"/>
  <c r="L51" i="9" s="1"/>
  <c r="T51" i="9"/>
  <c r="U51" i="9" s="1"/>
  <c r="N51" i="9" s="1"/>
  <c r="AB51" i="9" s="1"/>
  <c r="AA51" i="9"/>
  <c r="L52" i="9"/>
  <c r="T52" i="9"/>
  <c r="U52" i="9" s="1"/>
  <c r="N52" i="9" s="1"/>
  <c r="AB52" i="9" s="1"/>
  <c r="AA52" i="9"/>
  <c r="L53" i="9"/>
  <c r="T53" i="9"/>
  <c r="U53" i="9" s="1"/>
  <c r="N53" i="9" s="1"/>
  <c r="AB53" i="9" s="1"/>
  <c r="AA53" i="9"/>
  <c r="L54" i="9"/>
  <c r="T54" i="9"/>
  <c r="U54" i="9" s="1"/>
  <c r="N54" i="9" s="1"/>
  <c r="AB54" i="9" s="1"/>
  <c r="AA54" i="9"/>
  <c r="L55" i="9"/>
  <c r="T55" i="9"/>
  <c r="U55" i="9" s="1"/>
  <c r="N55" i="9" s="1"/>
  <c r="AB55" i="9" s="1"/>
  <c r="AA55" i="9"/>
  <c r="R56" i="9"/>
  <c r="AA56" i="9"/>
  <c r="R57" i="9"/>
  <c r="U57" i="9"/>
  <c r="N57" i="9" s="1"/>
  <c r="AB57" i="9" s="1"/>
  <c r="AA57" i="9"/>
  <c r="R58" i="9"/>
  <c r="U58" i="9"/>
  <c r="N58" i="9" s="1"/>
  <c r="AB58" i="9" s="1"/>
  <c r="AA58" i="9"/>
  <c r="R59" i="9"/>
  <c r="U59" i="9"/>
  <c r="N59" i="9" s="1"/>
  <c r="AB59" i="9" s="1"/>
  <c r="AA59" i="9"/>
  <c r="R60" i="9"/>
  <c r="U60" i="9"/>
  <c r="N60" i="9" s="1"/>
  <c r="AB60" i="9" s="1"/>
  <c r="AA60" i="9"/>
  <c r="R61" i="9"/>
  <c r="U61" i="9"/>
  <c r="N61" i="9" s="1"/>
  <c r="AB61" i="9" s="1"/>
  <c r="AA61" i="9"/>
  <c r="R62" i="9"/>
  <c r="U62" i="9"/>
  <c r="N62" i="9" s="1"/>
  <c r="AB62" i="9" s="1"/>
  <c r="AA62" i="9"/>
  <c r="R63" i="9"/>
  <c r="U63" i="9"/>
  <c r="N63" i="9" s="1"/>
  <c r="AB63" i="9" s="1"/>
  <c r="AA63" i="9"/>
  <c r="L64" i="9"/>
  <c r="R64" i="9"/>
  <c r="U64" i="9"/>
  <c r="N64" i="9" s="1"/>
  <c r="AB64" i="9" s="1"/>
  <c r="AA64" i="9"/>
  <c r="L65" i="9"/>
  <c r="R65" i="9"/>
  <c r="U65" i="9"/>
  <c r="N65" i="9" s="1"/>
  <c r="AB65" i="9" s="1"/>
  <c r="AA65" i="9"/>
  <c r="L66" i="9"/>
  <c r="R66" i="9"/>
  <c r="AA66" i="9"/>
  <c r="L67" i="9"/>
  <c r="R67" i="9"/>
  <c r="U67" i="9"/>
  <c r="N67" i="9" s="1"/>
  <c r="AB67" i="9" s="1"/>
  <c r="AA67" i="9"/>
  <c r="L68" i="9"/>
  <c r="R68" i="9"/>
  <c r="U68" i="9"/>
  <c r="N68" i="9" s="1"/>
  <c r="AB68" i="9" s="1"/>
  <c r="AA68" i="9"/>
  <c r="L69" i="9"/>
  <c r="R69" i="9"/>
  <c r="U69" i="9"/>
  <c r="N69" i="9" s="1"/>
  <c r="AB69" i="9" s="1"/>
  <c r="AA69" i="9"/>
  <c r="L70" i="9"/>
  <c r="R70" i="9"/>
  <c r="AA70" i="9"/>
  <c r="L71" i="9"/>
  <c r="R71" i="9"/>
  <c r="L72" i="9"/>
  <c r="R72" i="9"/>
  <c r="L73" i="9"/>
  <c r="R73" i="9"/>
  <c r="L74" i="9"/>
  <c r="R74" i="9"/>
  <c r="L75" i="9"/>
  <c r="R75" i="9"/>
  <c r="L76" i="9"/>
  <c r="R76" i="9"/>
  <c r="AA77" i="9"/>
  <c r="U78" i="9"/>
  <c r="Z78" i="9" s="1"/>
  <c r="AB78" i="9"/>
  <c r="AA79" i="9"/>
  <c r="U80" i="9"/>
  <c r="Z80" i="9" s="1"/>
  <c r="AA81" i="9"/>
  <c r="AA84" i="9"/>
  <c r="AB85" i="9"/>
  <c r="AB87" i="9"/>
  <c r="AB88" i="9"/>
  <c r="AA88" i="9" s="1"/>
  <c r="E89" i="9"/>
  <c r="F89" i="9"/>
  <c r="G89" i="9"/>
  <c r="J89" i="9"/>
  <c r="J90" i="9"/>
  <c r="L90" i="9"/>
  <c r="T90" i="9"/>
  <c r="U90" i="9" s="1"/>
  <c r="AA90" i="9"/>
  <c r="J91" i="9"/>
  <c r="L91" i="9"/>
  <c r="T91" i="9"/>
  <c r="U91" i="9" s="1"/>
  <c r="N91" i="9" s="1"/>
  <c r="AB91" i="9" s="1"/>
  <c r="AA91" i="9"/>
  <c r="J92" i="9"/>
  <c r="L92" i="9"/>
  <c r="T92" i="9"/>
  <c r="U92" i="9" s="1"/>
  <c r="N92" i="9" s="1"/>
  <c r="AB92" i="9" s="1"/>
  <c r="AA92" i="9"/>
  <c r="J93" i="9"/>
  <c r="L93" i="9"/>
  <c r="T93" i="9"/>
  <c r="U93" i="9" s="1"/>
  <c r="N93" i="9" s="1"/>
  <c r="AB93" i="9" s="1"/>
  <c r="AA93" i="9"/>
  <c r="J94" i="9"/>
  <c r="L94" i="9"/>
  <c r="T94" i="9"/>
  <c r="U94" i="9" s="1"/>
  <c r="N94" i="9" s="1"/>
  <c r="AB94" i="9" s="1"/>
  <c r="AA94" i="9"/>
  <c r="L95" i="9"/>
  <c r="T95" i="9"/>
  <c r="U95" i="9" s="1"/>
  <c r="N95" i="9" s="1"/>
  <c r="AB95" i="9" s="1"/>
  <c r="AA95" i="9"/>
  <c r="J96" i="9"/>
  <c r="L96" i="9"/>
  <c r="T96" i="9"/>
  <c r="U96" i="9" s="1"/>
  <c r="N96" i="9" s="1"/>
  <c r="AB96" i="9" s="1"/>
  <c r="AA96" i="9"/>
  <c r="J97" i="9"/>
  <c r="L97" i="9"/>
  <c r="T97" i="9"/>
  <c r="U97" i="9" s="1"/>
  <c r="N97" i="9" s="1"/>
  <c r="AB97" i="9" s="1"/>
  <c r="AA97" i="9"/>
  <c r="L98" i="9"/>
  <c r="T98" i="9"/>
  <c r="U98" i="9" s="1"/>
  <c r="N98" i="9" s="1"/>
  <c r="AB98" i="9" s="1"/>
  <c r="AA98" i="9"/>
  <c r="L99" i="9"/>
  <c r="T99" i="9"/>
  <c r="U99" i="9" s="1"/>
  <c r="N99" i="9" s="1"/>
  <c r="AB99" i="9" s="1"/>
  <c r="AA99" i="9"/>
  <c r="L100" i="9"/>
  <c r="T100" i="9"/>
  <c r="U100" i="9" s="1"/>
  <c r="N100" i="9" s="1"/>
  <c r="AB100" i="9" s="1"/>
  <c r="AA100" i="9"/>
  <c r="L101" i="9"/>
  <c r="T101" i="9"/>
  <c r="U101" i="9" s="1"/>
  <c r="N101" i="9" s="1"/>
  <c r="AB101" i="9" s="1"/>
  <c r="AA101" i="9"/>
  <c r="L102" i="9"/>
  <c r="T102" i="9"/>
  <c r="U102" i="9" s="1"/>
  <c r="N102" i="9" s="1"/>
  <c r="AB102" i="9" s="1"/>
  <c r="AA102" i="9"/>
  <c r="L103" i="9"/>
  <c r="T103" i="9"/>
  <c r="U103" i="9" s="1"/>
  <c r="AB103" i="9" s="1"/>
  <c r="AA103" i="9"/>
  <c r="L104" i="9"/>
  <c r="T104" i="9"/>
  <c r="U104" i="9" s="1"/>
  <c r="N104" i="9" s="1"/>
  <c r="AB104" i="9" s="1"/>
  <c r="AA104" i="9"/>
  <c r="L105" i="9"/>
  <c r="T105" i="9"/>
  <c r="U105" i="9" s="1"/>
  <c r="N105" i="9" s="1"/>
  <c r="AB105" i="9" s="1"/>
  <c r="AA105" i="9"/>
  <c r="L106" i="9"/>
  <c r="T106" i="9"/>
  <c r="U106" i="9" s="1"/>
  <c r="N106" i="9" s="1"/>
  <c r="AB106" i="9" s="1"/>
  <c r="AA106" i="9"/>
  <c r="L107" i="9"/>
  <c r="T107" i="9"/>
  <c r="U107" i="9" s="1"/>
  <c r="N107" i="9" s="1"/>
  <c r="AB107" i="9" s="1"/>
  <c r="AA107" i="9"/>
  <c r="L108" i="9"/>
  <c r="T108" i="9"/>
  <c r="U108" i="9" s="1"/>
  <c r="N108" i="9" s="1"/>
  <c r="AB108" i="9" s="1"/>
  <c r="AA108" i="9"/>
  <c r="R109" i="9"/>
  <c r="AA109" i="9"/>
  <c r="R110" i="9"/>
  <c r="U110" i="9"/>
  <c r="N110" i="9" s="1"/>
  <c r="AB110" i="9" s="1"/>
  <c r="AA110" i="9"/>
  <c r="R111" i="9"/>
  <c r="U111" i="9"/>
  <c r="N111" i="9" s="1"/>
  <c r="AB111" i="9" s="1"/>
  <c r="AA111" i="9"/>
  <c r="R112" i="9"/>
  <c r="U112" i="9"/>
  <c r="N112" i="9" s="1"/>
  <c r="AB112" i="9" s="1"/>
  <c r="AA112" i="9"/>
  <c r="R113" i="9"/>
  <c r="U113" i="9"/>
  <c r="N113" i="9" s="1"/>
  <c r="AB113" i="9" s="1"/>
  <c r="AA113" i="9"/>
  <c r="L114" i="9"/>
  <c r="U114" i="9"/>
  <c r="N114" i="9" s="1"/>
  <c r="AB114" i="9" s="1"/>
  <c r="AA114" i="9"/>
  <c r="L115" i="9"/>
  <c r="U115" i="9"/>
  <c r="N115" i="9" s="1"/>
  <c r="AB115" i="9" s="1"/>
  <c r="AA115" i="9"/>
  <c r="L116" i="9"/>
  <c r="U116" i="9"/>
  <c r="N116" i="9" s="1"/>
  <c r="AB116" i="9" s="1"/>
  <c r="AA116" i="9"/>
  <c r="L117" i="9"/>
  <c r="U117" i="9"/>
  <c r="N117" i="9" s="1"/>
  <c r="AB117" i="9" s="1"/>
  <c r="AA117" i="9"/>
  <c r="L118" i="9"/>
  <c r="U118" i="9"/>
  <c r="T118" i="9" s="1"/>
  <c r="N118" i="9" s="1"/>
  <c r="AB118" i="9" s="1"/>
  <c r="AA118" i="9"/>
  <c r="L119" i="9"/>
  <c r="M119" i="9" s="1"/>
  <c r="L120" i="9"/>
  <c r="M120" i="9" s="1"/>
  <c r="L121" i="9"/>
  <c r="M121" i="9" s="1"/>
  <c r="U121" i="9" s="1"/>
  <c r="T121" i="9" s="1"/>
  <c r="M122" i="9"/>
  <c r="U122" i="9" s="1"/>
  <c r="T122" i="9" s="1"/>
  <c r="M123" i="9"/>
  <c r="U123" i="9" s="1"/>
  <c r="T123" i="9" s="1"/>
  <c r="AB126" i="9"/>
  <c r="AB130" i="9"/>
  <c r="AB134" i="9"/>
  <c r="AA134" i="9" s="1"/>
  <c r="E137" i="9"/>
  <c r="F137" i="9"/>
  <c r="G137" i="9"/>
  <c r="K137" i="9"/>
  <c r="L138" i="9"/>
  <c r="T138" i="9"/>
  <c r="AA138" i="9"/>
  <c r="L139" i="9"/>
  <c r="T139" i="9"/>
  <c r="U139" i="9" s="1"/>
  <c r="N139" i="9" s="1"/>
  <c r="AB139" i="9" s="1"/>
  <c r="AA139" i="9"/>
  <c r="L140" i="9"/>
  <c r="T140" i="9"/>
  <c r="U140" i="9" s="1"/>
  <c r="N140" i="9" s="1"/>
  <c r="AB140" i="9" s="1"/>
  <c r="AA140" i="9"/>
  <c r="L141" i="9"/>
  <c r="T141" i="9"/>
  <c r="U141" i="9" s="1"/>
  <c r="N141" i="9" s="1"/>
  <c r="AB141" i="9" s="1"/>
  <c r="AA141" i="9"/>
  <c r="L142" i="9"/>
  <c r="T142" i="9"/>
  <c r="U142" i="9" s="1"/>
  <c r="N142" i="9" s="1"/>
  <c r="AB142" i="9" s="1"/>
  <c r="AA142" i="9"/>
  <c r="L143" i="9"/>
  <c r="T143" i="9"/>
  <c r="U143" i="9" s="1"/>
  <c r="N143" i="9" s="1"/>
  <c r="AB143" i="9" s="1"/>
  <c r="AA143" i="9"/>
  <c r="L144" i="9"/>
  <c r="T144" i="9"/>
  <c r="U144" i="9" s="1"/>
  <c r="N144" i="9" s="1"/>
  <c r="AB144" i="9" s="1"/>
  <c r="AA144" i="9"/>
  <c r="L145" i="9"/>
  <c r="T145" i="9"/>
  <c r="U145" i="9" s="1"/>
  <c r="N145" i="9" s="1"/>
  <c r="AB145" i="9" s="1"/>
  <c r="AA145" i="9"/>
  <c r="L146" i="9"/>
  <c r="T146" i="9"/>
  <c r="U146" i="9" s="1"/>
  <c r="N146" i="9" s="1"/>
  <c r="AB146" i="9" s="1"/>
  <c r="AA146" i="9"/>
  <c r="L147" i="9"/>
  <c r="T147" i="9"/>
  <c r="U147" i="9" s="1"/>
  <c r="N147" i="9" s="1"/>
  <c r="AB147" i="9" s="1"/>
  <c r="AA147" i="9"/>
  <c r="L148" i="9"/>
  <c r="T148" i="9"/>
  <c r="U148" i="9" s="1"/>
  <c r="N148" i="9" s="1"/>
  <c r="AB148" i="9" s="1"/>
  <c r="AA148" i="9"/>
  <c r="L149" i="9"/>
  <c r="T149" i="9"/>
  <c r="U149" i="9" s="1"/>
  <c r="N149" i="9" s="1"/>
  <c r="AB149" i="9" s="1"/>
  <c r="AA149" i="9"/>
  <c r="L150" i="9"/>
  <c r="T150" i="9"/>
  <c r="U150" i="9" s="1"/>
  <c r="N150" i="9" s="1"/>
  <c r="AB150" i="9" s="1"/>
  <c r="AA150" i="9"/>
  <c r="L151" i="9"/>
  <c r="T151" i="9"/>
  <c r="U151" i="9" s="1"/>
  <c r="N151" i="9" s="1"/>
  <c r="AB151" i="9" s="1"/>
  <c r="AA151" i="9"/>
  <c r="L152" i="9"/>
  <c r="T152" i="9"/>
  <c r="U152" i="9" s="1"/>
  <c r="N152" i="9" s="1"/>
  <c r="AB152" i="9" s="1"/>
  <c r="AA152" i="9"/>
  <c r="L153" i="9"/>
  <c r="T153" i="9"/>
  <c r="U153" i="9" s="1"/>
  <c r="N153" i="9" s="1"/>
  <c r="AB153" i="9" s="1"/>
  <c r="AA153" i="9"/>
  <c r="L154" i="9"/>
  <c r="T154" i="9"/>
  <c r="U154" i="9" s="1"/>
  <c r="N154" i="9" s="1"/>
  <c r="AB154" i="9" s="1"/>
  <c r="AA154" i="9"/>
  <c r="L155" i="9"/>
  <c r="T155" i="9"/>
  <c r="U155" i="9" s="1"/>
  <c r="N155" i="9" s="1"/>
  <c r="AB155" i="9" s="1"/>
  <c r="AA155" i="9"/>
  <c r="L156" i="9"/>
  <c r="T156" i="9"/>
  <c r="U156" i="9" s="1"/>
  <c r="N156" i="9" s="1"/>
  <c r="AB156" i="9" s="1"/>
  <c r="AA156" i="9"/>
  <c r="L157" i="9"/>
  <c r="T157" i="9"/>
  <c r="U157" i="9" s="1"/>
  <c r="N157" i="9" s="1"/>
  <c r="AB157" i="9" s="1"/>
  <c r="AA157" i="9"/>
  <c r="L158" i="9"/>
  <c r="T158" i="9"/>
  <c r="U158" i="9" s="1"/>
  <c r="N158" i="9" s="1"/>
  <c r="AB158" i="9" s="1"/>
  <c r="AA158" i="9"/>
  <c r="L159" i="9"/>
  <c r="T159" i="9"/>
  <c r="U159" i="9" s="1"/>
  <c r="N159" i="9" s="1"/>
  <c r="AB159" i="9" s="1"/>
  <c r="AA159" i="9"/>
  <c r="L160" i="9"/>
  <c r="T160" i="9"/>
  <c r="U160" i="9" s="1"/>
  <c r="N160" i="9" s="1"/>
  <c r="AB160" i="9" s="1"/>
  <c r="AA160" i="9"/>
  <c r="L161" i="9"/>
  <c r="T161" i="9"/>
  <c r="U161" i="9" s="1"/>
  <c r="N161" i="9" s="1"/>
  <c r="AB161" i="9" s="1"/>
  <c r="AA161" i="9"/>
  <c r="L162" i="9"/>
  <c r="T162" i="9"/>
  <c r="U162" i="9" s="1"/>
  <c r="N162" i="9" s="1"/>
  <c r="AB162" i="9" s="1"/>
  <c r="AA162" i="9"/>
  <c r="L163" i="9"/>
  <c r="T163" i="9"/>
  <c r="U163" i="9" s="1"/>
  <c r="N163" i="9" s="1"/>
  <c r="AB163" i="9" s="1"/>
  <c r="AA163" i="9"/>
  <c r="L164" i="9"/>
  <c r="T164" i="9"/>
  <c r="U164" i="9" s="1"/>
  <c r="N164" i="9" s="1"/>
  <c r="AB164" i="9" s="1"/>
  <c r="AA164" i="9"/>
  <c r="L165" i="9"/>
  <c r="T165" i="9"/>
  <c r="U165" i="9" s="1"/>
  <c r="N165" i="9" s="1"/>
  <c r="AB165" i="9" s="1"/>
  <c r="AA165" i="9"/>
  <c r="L166" i="9"/>
  <c r="T166" i="9"/>
  <c r="U166" i="9" s="1"/>
  <c r="N166" i="9" s="1"/>
  <c r="AB166" i="9" s="1"/>
  <c r="AA166" i="9"/>
  <c r="L167" i="9"/>
  <c r="T167" i="9"/>
  <c r="U167" i="9" s="1"/>
  <c r="N167" i="9" s="1"/>
  <c r="AB167" i="9" s="1"/>
  <c r="AA167" i="9"/>
  <c r="L168" i="9"/>
  <c r="T168" i="9"/>
  <c r="U168" i="9" s="1"/>
  <c r="N168" i="9" s="1"/>
  <c r="AB168" i="9" s="1"/>
  <c r="AA168" i="9"/>
  <c r="L169" i="9"/>
  <c r="T169" i="9"/>
  <c r="U169" i="9" s="1"/>
  <c r="N169" i="9" s="1"/>
  <c r="AB169" i="9" s="1"/>
  <c r="AA169" i="9"/>
  <c r="L170" i="9"/>
  <c r="T170" i="9"/>
  <c r="U170" i="9" s="1"/>
  <c r="N170" i="9" s="1"/>
  <c r="AB170" i="9" s="1"/>
  <c r="AA170" i="9"/>
  <c r="L171" i="9"/>
  <c r="T171" i="9"/>
  <c r="U171" i="9" s="1"/>
  <c r="N171" i="9" s="1"/>
  <c r="AB171" i="9" s="1"/>
  <c r="AA171" i="9"/>
  <c r="L172" i="9"/>
  <c r="T172" i="9"/>
  <c r="U172" i="9" s="1"/>
  <c r="N172" i="9" s="1"/>
  <c r="AB172" i="9" s="1"/>
  <c r="AA172" i="9"/>
  <c r="L173" i="9"/>
  <c r="T173" i="9"/>
  <c r="U173" i="9" s="1"/>
  <c r="AB173" i="9" s="1"/>
  <c r="AA173" i="9"/>
  <c r="L174" i="9"/>
  <c r="T174" i="9"/>
  <c r="U174" i="9" s="1"/>
  <c r="N174" i="9" s="1"/>
  <c r="AB174" i="9" s="1"/>
  <c r="AA174" i="9"/>
  <c r="L175" i="9"/>
  <c r="T175" i="9"/>
  <c r="U175" i="9" s="1"/>
  <c r="N175" i="9" s="1"/>
  <c r="AB175" i="9" s="1"/>
  <c r="AA175" i="9"/>
  <c r="L176" i="9"/>
  <c r="T176" i="9"/>
  <c r="U176" i="9" s="1"/>
  <c r="N176" i="9" s="1"/>
  <c r="AB176" i="9" s="1"/>
  <c r="AA176" i="9"/>
  <c r="L177" i="9"/>
  <c r="T177" i="9"/>
  <c r="U177" i="9" s="1"/>
  <c r="N177" i="9" s="1"/>
  <c r="AB177" i="9" s="1"/>
  <c r="AA177" i="9"/>
  <c r="L178" i="9"/>
  <c r="T178" i="9"/>
  <c r="U178" i="9" s="1"/>
  <c r="N178" i="9" s="1"/>
  <c r="AB178" i="9" s="1"/>
  <c r="AA178" i="9"/>
  <c r="L179" i="9"/>
  <c r="T179" i="9"/>
  <c r="U179" i="9" s="1"/>
  <c r="N179" i="9" s="1"/>
  <c r="AB179" i="9" s="1"/>
  <c r="AA179" i="9"/>
  <c r="L180" i="9"/>
  <c r="T180" i="9"/>
  <c r="U180" i="9" s="1"/>
  <c r="N180" i="9" s="1"/>
  <c r="AB180" i="9" s="1"/>
  <c r="AA180" i="9"/>
  <c r="L181" i="9"/>
  <c r="T181" i="9"/>
  <c r="U181" i="9" s="1"/>
  <c r="N181" i="9" s="1"/>
  <c r="AB181" i="9" s="1"/>
  <c r="AA181" i="9"/>
  <c r="L182" i="9"/>
  <c r="T182" i="9"/>
  <c r="U182" i="9" s="1"/>
  <c r="N182" i="9" s="1"/>
  <c r="AB182" i="9" s="1"/>
  <c r="AA182" i="9"/>
  <c r="L183" i="9"/>
  <c r="T183" i="9"/>
  <c r="U183" i="9" s="1"/>
  <c r="N183" i="9" s="1"/>
  <c r="AB183" i="9" s="1"/>
  <c r="AA183" i="9"/>
  <c r="L184" i="9"/>
  <c r="T184" i="9"/>
  <c r="U184" i="9" s="1"/>
  <c r="N184" i="9" s="1"/>
  <c r="AB184" i="9" s="1"/>
  <c r="AA184" i="9"/>
  <c r="L185" i="9"/>
  <c r="T185" i="9"/>
  <c r="U185" i="9" s="1"/>
  <c r="N185" i="9" s="1"/>
  <c r="AB185" i="9" s="1"/>
  <c r="AA185" i="9"/>
  <c r="L186" i="9"/>
  <c r="T186" i="9"/>
  <c r="AA186" i="9"/>
  <c r="L187" i="9"/>
  <c r="T187" i="9"/>
  <c r="U187" i="9" s="1"/>
  <c r="N187" i="9" s="1"/>
  <c r="AB187" i="9" s="1"/>
  <c r="AA187" i="9"/>
  <c r="K188" i="9"/>
  <c r="L188" i="9" s="1"/>
  <c r="T188" i="9"/>
  <c r="U188" i="9" s="1"/>
  <c r="N188" i="9" s="1"/>
  <c r="AB188" i="9" s="1"/>
  <c r="AA188" i="9"/>
  <c r="K189" i="9"/>
  <c r="L189" i="9" s="1"/>
  <c r="T189" i="9"/>
  <c r="U189" i="9" s="1"/>
  <c r="N189" i="9" s="1"/>
  <c r="AB189" i="9" s="1"/>
  <c r="AA189" i="9"/>
  <c r="K190" i="9"/>
  <c r="L190" i="9" s="1"/>
  <c r="T190" i="9"/>
  <c r="U190" i="9" s="1"/>
  <c r="N190" i="9" s="1"/>
  <c r="AB190" i="9" s="1"/>
  <c r="AA190" i="9"/>
  <c r="K191" i="9"/>
  <c r="L191" i="9" s="1"/>
  <c r="T191" i="9"/>
  <c r="U191" i="9" s="1"/>
  <c r="N191" i="9" s="1"/>
  <c r="AB191" i="9" s="1"/>
  <c r="AA191" i="9"/>
  <c r="K192" i="9"/>
  <c r="L192" i="9" s="1"/>
  <c r="T192" i="9"/>
  <c r="U192" i="9" s="1"/>
  <c r="N192" i="9" s="1"/>
  <c r="AB192" i="9" s="1"/>
  <c r="AA192" i="9"/>
  <c r="K193" i="9"/>
  <c r="L193" i="9" s="1"/>
  <c r="T193" i="9"/>
  <c r="U193" i="9" s="1"/>
  <c r="N193" i="9" s="1"/>
  <c r="AB193" i="9" s="1"/>
  <c r="AA193" i="9"/>
  <c r="K194" i="9"/>
  <c r="L194" i="9" s="1"/>
  <c r="T194" i="9"/>
  <c r="U194" i="9" s="1"/>
  <c r="N194" i="9" s="1"/>
  <c r="AB194" i="9" s="1"/>
  <c r="AA194" i="9"/>
  <c r="K195" i="9"/>
  <c r="L195" i="9" s="1"/>
  <c r="T195" i="9"/>
  <c r="U195" i="9" s="1"/>
  <c r="N195" i="9" s="1"/>
  <c r="AB195" i="9" s="1"/>
  <c r="AA195" i="9"/>
  <c r="K196" i="9"/>
  <c r="L196" i="9" s="1"/>
  <c r="T196" i="9"/>
  <c r="U196" i="9" s="1"/>
  <c r="N196" i="9" s="1"/>
  <c r="AB196" i="9" s="1"/>
  <c r="AA196" i="9"/>
  <c r="K197" i="9"/>
  <c r="L197" i="9" s="1"/>
  <c r="T197" i="9"/>
  <c r="U197" i="9" s="1"/>
  <c r="N197" i="9" s="1"/>
  <c r="AB197" i="9" s="1"/>
  <c r="AA197" i="9"/>
  <c r="K198" i="9"/>
  <c r="L198" i="9" s="1"/>
  <c r="T198" i="9"/>
  <c r="U198" i="9" s="1"/>
  <c r="N198" i="9" s="1"/>
  <c r="AB198" i="9" s="1"/>
  <c r="AA198" i="9"/>
  <c r="K199" i="9"/>
  <c r="L199" i="9" s="1"/>
  <c r="T199" i="9"/>
  <c r="U199" i="9" s="1"/>
  <c r="N199" i="9" s="1"/>
  <c r="AB199" i="9" s="1"/>
  <c r="AA199" i="9"/>
  <c r="L200" i="9"/>
  <c r="AA200" i="9"/>
  <c r="L201" i="9"/>
  <c r="U201" i="9"/>
  <c r="N201" i="9" s="1"/>
  <c r="AB201" i="9" s="1"/>
  <c r="AA201" i="9"/>
  <c r="L202" i="9"/>
  <c r="AA202" i="9"/>
  <c r="L203" i="9"/>
  <c r="AA203" i="9"/>
  <c r="L204" i="9"/>
  <c r="AA204" i="9"/>
  <c r="L205" i="9"/>
  <c r="U205" i="9"/>
  <c r="N205" i="9" s="1"/>
  <c r="AB205" i="9" s="1"/>
  <c r="AA205" i="9"/>
  <c r="L206" i="9"/>
  <c r="AA206" i="9"/>
  <c r="L207" i="9"/>
  <c r="AA207" i="9"/>
  <c r="L208" i="9"/>
  <c r="AA208" i="9"/>
  <c r="L209" i="9"/>
  <c r="U209" i="9"/>
  <c r="N209" i="9" s="1"/>
  <c r="AB209" i="9" s="1"/>
  <c r="AA209" i="9"/>
  <c r="L210" i="9"/>
  <c r="AA210" i="9"/>
  <c r="L211" i="9"/>
  <c r="AA211" i="9"/>
  <c r="L212" i="9"/>
  <c r="AA212" i="9"/>
  <c r="L213" i="9"/>
  <c r="U213" i="9"/>
  <c r="N213" i="9" s="1"/>
  <c r="AB213" i="9" s="1"/>
  <c r="AA213" i="9"/>
  <c r="L214" i="9"/>
  <c r="AA214" i="9"/>
  <c r="L215" i="9"/>
  <c r="AA215" i="9"/>
  <c r="L216" i="9"/>
  <c r="AA216" i="9"/>
  <c r="L217" i="9"/>
  <c r="U217" i="9"/>
  <c r="N217" i="9" s="1"/>
  <c r="AB217" i="9" s="1"/>
  <c r="AA217" i="9"/>
  <c r="L218" i="9"/>
  <c r="AA218" i="9"/>
  <c r="L219" i="9"/>
  <c r="AA219" i="9"/>
  <c r="L220" i="9"/>
  <c r="AA220" i="9"/>
  <c r="L221" i="9"/>
  <c r="U221" i="9"/>
  <c r="N221" i="9" s="1"/>
  <c r="AB221" i="9" s="1"/>
  <c r="AA221" i="9"/>
  <c r="L222" i="9"/>
  <c r="AA222" i="9"/>
  <c r="L223" i="9"/>
  <c r="AA223" i="9"/>
  <c r="L224" i="9"/>
  <c r="AA224" i="9"/>
  <c r="L225" i="9"/>
  <c r="U225" i="9"/>
  <c r="N225" i="9" s="1"/>
  <c r="AB225" i="9" s="1"/>
  <c r="AA225" i="9"/>
  <c r="L226" i="9"/>
  <c r="AA226" i="9"/>
  <c r="L227" i="9"/>
  <c r="AA227" i="9"/>
  <c r="L228" i="9"/>
  <c r="AA228" i="9"/>
  <c r="L229" i="9"/>
  <c r="U229" i="9"/>
  <c r="N229" i="9" s="1"/>
  <c r="AB229" i="9" s="1"/>
  <c r="AA229" i="9"/>
  <c r="L230" i="9"/>
  <c r="AA230" i="9"/>
  <c r="L231" i="9"/>
  <c r="AA231" i="9"/>
  <c r="L232" i="9"/>
  <c r="AA232" i="9"/>
  <c r="L233" i="9"/>
  <c r="U233" i="9"/>
  <c r="N233" i="9" s="1"/>
  <c r="AB233" i="9" s="1"/>
  <c r="AA233" i="9"/>
  <c r="L234" i="9"/>
  <c r="AA234" i="9"/>
  <c r="L235" i="9"/>
  <c r="AA235" i="9"/>
  <c r="L236" i="9"/>
  <c r="AA236" i="9"/>
  <c r="L237" i="9"/>
  <c r="U237" i="9"/>
  <c r="N237" i="9" s="1"/>
  <c r="AB237" i="9" s="1"/>
  <c r="AA237" i="9"/>
  <c r="L238" i="9"/>
  <c r="AA238" i="9"/>
  <c r="L239" i="9"/>
  <c r="AA239" i="9"/>
  <c r="L240" i="9"/>
  <c r="AA240" i="9"/>
  <c r="L241" i="9"/>
  <c r="U241" i="9"/>
  <c r="N241" i="9" s="1"/>
  <c r="AB241" i="9" s="1"/>
  <c r="AA241" i="9"/>
  <c r="L242" i="9"/>
  <c r="AA242" i="9"/>
  <c r="L243" i="9"/>
  <c r="AA243" i="9"/>
  <c r="L244" i="9"/>
  <c r="AA244" i="9"/>
  <c r="L245" i="9"/>
  <c r="U245" i="9"/>
  <c r="AA245" i="9"/>
  <c r="L246" i="9"/>
  <c r="AA246" i="9"/>
  <c r="L247" i="9"/>
  <c r="AA247" i="9"/>
  <c r="L248" i="9"/>
  <c r="AA248" i="9"/>
  <c r="L249" i="9"/>
  <c r="U249" i="9"/>
  <c r="AA249" i="9"/>
  <c r="L250" i="9"/>
  <c r="AA250" i="9"/>
  <c r="L251" i="9"/>
  <c r="AA251" i="9"/>
  <c r="L252" i="9"/>
  <c r="AA252" i="9"/>
  <c r="L253" i="9"/>
  <c r="U253" i="9"/>
  <c r="AA253" i="9"/>
  <c r="L254" i="9"/>
  <c r="AA254" i="9"/>
  <c r="L255" i="9"/>
  <c r="AA255" i="9"/>
  <c r="L256" i="9"/>
  <c r="AA256" i="9"/>
  <c r="L257" i="9"/>
  <c r="U257" i="9"/>
  <c r="AA257" i="9"/>
  <c r="L258" i="9"/>
  <c r="AA258" i="9"/>
  <c r="L259" i="9"/>
  <c r="AA259" i="9"/>
  <c r="L260" i="9"/>
  <c r="AA260" i="9"/>
  <c r="L261" i="9"/>
  <c r="U261" i="9"/>
  <c r="AA261" i="9"/>
  <c r="L262" i="9"/>
  <c r="AA262" i="9"/>
  <c r="L263" i="9"/>
  <c r="AA263" i="9"/>
  <c r="L264" i="9"/>
  <c r="AA264" i="9"/>
  <c r="L265" i="9"/>
  <c r="U265" i="9"/>
  <c r="AA265" i="9"/>
  <c r="L266" i="9"/>
  <c r="AA266" i="9"/>
  <c r="L267" i="9"/>
  <c r="AA267" i="9"/>
  <c r="L268" i="9"/>
  <c r="AA268" i="9"/>
  <c r="L269" i="9"/>
  <c r="U269" i="9"/>
  <c r="AA269" i="9"/>
  <c r="L270" i="9"/>
  <c r="M270" i="9" s="1"/>
  <c r="L271" i="9"/>
  <c r="M271" i="9" s="1"/>
  <c r="L272" i="9"/>
  <c r="M272" i="9" s="1"/>
  <c r="U272" i="9" s="1"/>
  <c r="L273" i="9"/>
  <c r="M273" i="9" s="1"/>
  <c r="L274" i="9"/>
  <c r="M274" i="9" s="1"/>
  <c r="U274" i="9" s="1"/>
  <c r="L275" i="9"/>
  <c r="M275" i="9" s="1"/>
  <c r="L276" i="9"/>
  <c r="M276" i="9" s="1"/>
  <c r="U276" i="9" s="1"/>
  <c r="L277" i="9"/>
  <c r="M277" i="9" s="1"/>
  <c r="L278" i="9"/>
  <c r="M278" i="9" s="1"/>
  <c r="U278" i="9" s="1"/>
  <c r="L279" i="9"/>
  <c r="M279" i="9" s="1"/>
  <c r="L280" i="9"/>
  <c r="M280" i="9" s="1"/>
  <c r="U280" i="9" s="1"/>
  <c r="L281" i="9"/>
  <c r="M281" i="9" s="1"/>
  <c r="L282" i="9"/>
  <c r="M282" i="9" s="1"/>
  <c r="U282" i="9" s="1"/>
  <c r="L283" i="9"/>
  <c r="M283" i="9" s="1"/>
  <c r="L284" i="9"/>
  <c r="M284" i="9" s="1"/>
  <c r="U284" i="9" s="1"/>
  <c r="L285" i="9"/>
  <c r="M285" i="9" s="1"/>
  <c r="L286" i="9"/>
  <c r="M286" i="9" s="1"/>
  <c r="U286" i="9" s="1"/>
  <c r="L287" i="9"/>
  <c r="M287" i="9" s="1"/>
  <c r="L288" i="9"/>
  <c r="M288" i="9" s="1"/>
  <c r="U288" i="9" s="1"/>
  <c r="L289" i="9"/>
  <c r="M289" i="9" s="1"/>
  <c r="L290" i="9"/>
  <c r="M290" i="9" s="1"/>
  <c r="U290" i="9" s="1"/>
  <c r="L291" i="9"/>
  <c r="M291" i="9" s="1"/>
  <c r="L292" i="9"/>
  <c r="M292" i="9" s="1"/>
  <c r="U292" i="9" s="1"/>
  <c r="M293" i="9"/>
  <c r="U293" i="9" s="1"/>
  <c r="M294" i="9"/>
  <c r="U294" i="9" s="1"/>
  <c r="M295" i="9"/>
  <c r="U295" i="9" s="1"/>
  <c r="M296" i="9"/>
  <c r="U296" i="9" s="1"/>
  <c r="M297" i="9"/>
  <c r="U297" i="9" s="1"/>
  <c r="M298" i="9"/>
  <c r="U298" i="9" s="1"/>
  <c r="M299" i="9"/>
  <c r="U299" i="9" s="1"/>
  <c r="M300" i="9"/>
  <c r="U300" i="9" s="1"/>
  <c r="M301" i="9"/>
  <c r="U301" i="9" s="1"/>
  <c r="M302" i="9"/>
  <c r="U302" i="9" s="1"/>
  <c r="AB305" i="9"/>
  <c r="AB309" i="9"/>
  <c r="AB313" i="9"/>
  <c r="AB317" i="9"/>
  <c r="AB321" i="9"/>
  <c r="AB325" i="9"/>
  <c r="AB329" i="9"/>
  <c r="AB333" i="9"/>
  <c r="AB337" i="9"/>
  <c r="AA337" i="9" s="1"/>
  <c r="AB338" i="9"/>
  <c r="AA338" i="9" s="1"/>
  <c r="AB339" i="9"/>
  <c r="AA339" i="9" s="1"/>
  <c r="AB340" i="9"/>
  <c r="AA340" i="9" s="1"/>
  <c r="AB341" i="9"/>
  <c r="AA341" i="9" s="1"/>
  <c r="AB342" i="9"/>
  <c r="AA342" i="9" s="1"/>
  <c r="AB343" i="9"/>
  <c r="AA343" i="9" s="1"/>
  <c r="AB344" i="9"/>
  <c r="AA344" i="9" s="1"/>
  <c r="E364" i="9"/>
  <c r="F364" i="9"/>
  <c r="G364" i="9"/>
  <c r="I364" i="9"/>
  <c r="J364" i="9"/>
  <c r="K365" i="9"/>
  <c r="L365" i="9" s="1"/>
  <c r="AA365" i="9"/>
  <c r="L366" i="9"/>
  <c r="T366" i="9"/>
  <c r="U366" i="9" s="1"/>
  <c r="N366" i="9" s="1"/>
  <c r="AB366" i="9" s="1"/>
  <c r="L367" i="9"/>
  <c r="T367" i="9"/>
  <c r="U367" i="9" s="1"/>
  <c r="N367" i="9" s="1"/>
  <c r="S367" i="9" s="1"/>
  <c r="AC367" i="9" s="1"/>
  <c r="L368" i="9"/>
  <c r="T368" i="9"/>
  <c r="U368" i="9" s="1"/>
  <c r="AA368" i="9"/>
  <c r="L369" i="9"/>
  <c r="T369" i="9"/>
  <c r="U369" i="9" s="1"/>
  <c r="AA369" i="9"/>
  <c r="K370" i="9"/>
  <c r="L370" i="9" s="1"/>
  <c r="T370" i="9"/>
  <c r="U370" i="9" s="1"/>
  <c r="AA370" i="9"/>
  <c r="K371" i="9"/>
  <c r="L371" i="9" s="1"/>
  <c r="T371" i="9"/>
  <c r="U371" i="9" s="1"/>
  <c r="N371" i="9" s="1"/>
  <c r="S371" i="9" s="1"/>
  <c r="AC371" i="9" s="1"/>
  <c r="AA371" i="9"/>
  <c r="K372" i="9"/>
  <c r="L372" i="9" s="1"/>
  <c r="T372" i="9"/>
  <c r="U372" i="9" s="1"/>
  <c r="AA372" i="9"/>
  <c r="K373" i="9"/>
  <c r="L373" i="9" s="1"/>
  <c r="T373" i="9"/>
  <c r="U373" i="9" s="1"/>
  <c r="AA373" i="9"/>
  <c r="K374" i="9"/>
  <c r="L374" i="9" s="1"/>
  <c r="T374" i="9"/>
  <c r="U374" i="9" s="1"/>
  <c r="AA374" i="9"/>
  <c r="K375" i="9"/>
  <c r="L375" i="9" s="1"/>
  <c r="T375" i="9"/>
  <c r="U375" i="9" s="1"/>
  <c r="AA375" i="9"/>
  <c r="K376" i="9"/>
  <c r="L376" i="9" s="1"/>
  <c r="T376" i="9"/>
  <c r="U376" i="9" s="1"/>
  <c r="AA376" i="9"/>
  <c r="K377" i="9"/>
  <c r="L377" i="9" s="1"/>
  <c r="T377" i="9"/>
  <c r="U377" i="9" s="1"/>
  <c r="AA377" i="9"/>
  <c r="L378" i="9"/>
  <c r="AA378" i="9"/>
  <c r="L379" i="9"/>
  <c r="U379" i="9"/>
  <c r="AA379" i="9"/>
  <c r="L380" i="9"/>
  <c r="AA380" i="9"/>
  <c r="L381" i="9"/>
  <c r="U381" i="9"/>
  <c r="AA381" i="9"/>
  <c r="L382" i="9"/>
  <c r="AA382" i="9"/>
  <c r="L383" i="9"/>
  <c r="U383" i="9"/>
  <c r="AA383" i="9"/>
  <c r="L384" i="9"/>
  <c r="AA384" i="9"/>
  <c r="L385" i="9"/>
  <c r="U385" i="9"/>
  <c r="AA385" i="9"/>
  <c r="L386" i="9"/>
  <c r="AA386" i="9"/>
  <c r="L387" i="9"/>
  <c r="U387" i="9"/>
  <c r="AA387" i="9"/>
  <c r="L388" i="9"/>
  <c r="AA388" i="9"/>
  <c r="L389" i="9"/>
  <c r="U389" i="9"/>
  <c r="AA389" i="9"/>
  <c r="L390" i="9"/>
  <c r="AA390" i="9"/>
  <c r="L391" i="9"/>
  <c r="U391" i="9"/>
  <c r="AA391" i="9"/>
  <c r="L392" i="9"/>
  <c r="AA392" i="9"/>
  <c r="L393" i="9"/>
  <c r="U393" i="9"/>
  <c r="AA393" i="9"/>
  <c r="L394" i="9"/>
  <c r="AA394" i="9"/>
  <c r="L395" i="9"/>
  <c r="U395" i="9"/>
  <c r="AA395" i="9"/>
  <c r="L396" i="9"/>
  <c r="AA396" i="9"/>
  <c r="L397" i="9"/>
  <c r="U397" i="9"/>
  <c r="AA397" i="9"/>
  <c r="L398" i="9"/>
  <c r="AA398" i="9"/>
  <c r="L399" i="9"/>
  <c r="U399" i="9"/>
  <c r="AA399" i="9"/>
  <c r="L400" i="9"/>
  <c r="AA400" i="9"/>
  <c r="L401" i="9"/>
  <c r="U401" i="9"/>
  <c r="AA401" i="9"/>
  <c r="L402" i="9"/>
  <c r="AA402" i="9"/>
  <c r="L403" i="9"/>
  <c r="U403" i="9"/>
  <c r="AA403" i="9"/>
  <c r="L404" i="9"/>
  <c r="AA404" i="9"/>
  <c r="L405" i="9"/>
  <c r="U405" i="9"/>
  <c r="AA405" i="9"/>
  <c r="L406" i="9"/>
  <c r="AA406" i="9"/>
  <c r="L407" i="9"/>
  <c r="U407" i="9"/>
  <c r="AA407" i="9"/>
  <c r="L408" i="9"/>
  <c r="AA408" i="9"/>
  <c r="L409" i="9"/>
  <c r="U409" i="9"/>
  <c r="AA409" i="9"/>
  <c r="L410" i="9"/>
  <c r="U410" i="9"/>
  <c r="AA410" i="9"/>
  <c r="L411" i="9"/>
  <c r="U411" i="9"/>
  <c r="AA411" i="9"/>
  <c r="L412" i="9"/>
  <c r="M412" i="9" s="1"/>
  <c r="L413" i="9"/>
  <c r="M413" i="9" s="1"/>
  <c r="L414" i="9"/>
  <c r="M414" i="9" s="1"/>
  <c r="L415" i="9"/>
  <c r="M415" i="9" s="1"/>
  <c r="L416" i="9"/>
  <c r="M416" i="9" s="1"/>
  <c r="L417" i="9"/>
  <c r="M417" i="9" s="1"/>
  <c r="L418" i="9"/>
  <c r="M418" i="9" s="1"/>
  <c r="L419" i="9"/>
  <c r="M419" i="9" s="1"/>
  <c r="L420" i="9"/>
  <c r="M420" i="9" s="1"/>
  <c r="L421" i="9"/>
  <c r="M421" i="9" s="1"/>
  <c r="L422" i="9"/>
  <c r="M422" i="9" s="1"/>
  <c r="L423" i="9"/>
  <c r="M423" i="9" s="1"/>
  <c r="L424" i="9"/>
  <c r="M424" i="9" s="1"/>
  <c r="L425" i="9"/>
  <c r="M425" i="9" s="1"/>
  <c r="L426" i="9"/>
  <c r="M426" i="9" s="1"/>
  <c r="L427" i="9"/>
  <c r="M427" i="9" s="1"/>
  <c r="L428" i="9"/>
  <c r="M428" i="9" s="1"/>
  <c r="L429" i="9"/>
  <c r="M429" i="9" s="1"/>
  <c r="L430" i="9"/>
  <c r="M430" i="9" s="1"/>
  <c r="L431" i="9"/>
  <c r="M431" i="9" s="1"/>
  <c r="L432" i="9"/>
  <c r="M432" i="9" s="1"/>
  <c r="M433" i="9"/>
  <c r="U433" i="9" s="1"/>
  <c r="M434" i="9"/>
  <c r="U434" i="9" s="1"/>
  <c r="M435" i="9"/>
  <c r="U435" i="9" s="1"/>
  <c r="M436" i="9"/>
  <c r="U436" i="9" s="1"/>
  <c r="M437" i="9"/>
  <c r="U437" i="9" s="1"/>
  <c r="M438" i="9"/>
  <c r="U438" i="9" s="1"/>
  <c r="M439" i="9"/>
  <c r="U439" i="9" s="1"/>
  <c r="M440" i="9"/>
  <c r="U440" i="9" s="1"/>
  <c r="M441" i="9"/>
  <c r="U441" i="9" s="1"/>
  <c r="M442" i="9"/>
  <c r="U442" i="9" s="1"/>
  <c r="M443" i="9"/>
  <c r="U443" i="9" s="1"/>
  <c r="M444" i="9"/>
  <c r="U444" i="9" s="1"/>
  <c r="M445" i="9"/>
  <c r="U445" i="9" s="1"/>
  <c r="AB446" i="9"/>
  <c r="AB447" i="9"/>
  <c r="AB448" i="9"/>
  <c r="AB449" i="9"/>
  <c r="AB450" i="9"/>
  <c r="AB451" i="9"/>
  <c r="AB452" i="9"/>
  <c r="AB453" i="9"/>
  <c r="AB454" i="9"/>
  <c r="AB455" i="9"/>
  <c r="AB456" i="9"/>
  <c r="AB457" i="9"/>
  <c r="AB458" i="9"/>
  <c r="AB459" i="9"/>
  <c r="AB460" i="9"/>
  <c r="AB461" i="9"/>
  <c r="AB462" i="9"/>
  <c r="AB463" i="9"/>
  <c r="AB464" i="9"/>
  <c r="AB465" i="9"/>
  <c r="AB466" i="9"/>
  <c r="AB467" i="9"/>
  <c r="AB468" i="9"/>
  <c r="AB469" i="9"/>
  <c r="AB470" i="9"/>
  <c r="AB471" i="9"/>
  <c r="AB472" i="9"/>
  <c r="AB473" i="9"/>
  <c r="AB474" i="9"/>
  <c r="AB475" i="9"/>
  <c r="AB476" i="9"/>
  <c r="AB477" i="9"/>
  <c r="AB478" i="9"/>
  <c r="AB479" i="9"/>
  <c r="AA479" i="9" s="1"/>
  <c r="AB480" i="9"/>
  <c r="AA480" i="9" s="1"/>
  <c r="AB481" i="9"/>
  <c r="AA481" i="9" s="1"/>
  <c r="AB482" i="9"/>
  <c r="AA482" i="9" s="1"/>
  <c r="AB483" i="9"/>
  <c r="AA483" i="9" s="1"/>
  <c r="AB484" i="9"/>
  <c r="AA484" i="9" s="1"/>
  <c r="AB485" i="9"/>
  <c r="AA485" i="9" s="1"/>
  <c r="AB486" i="9"/>
  <c r="AA486" i="9" s="1"/>
  <c r="AB487" i="9"/>
  <c r="AA487" i="9" s="1"/>
  <c r="AB488" i="9"/>
  <c r="AA488" i="9" s="1"/>
  <c r="AB489" i="9"/>
  <c r="AA489" i="9" s="1"/>
  <c r="AB490" i="9"/>
  <c r="AA490" i="9" s="1"/>
  <c r="AB491" i="9"/>
  <c r="AA491" i="9" s="1"/>
  <c r="AB492" i="9"/>
  <c r="AA492" i="9" s="1"/>
  <c r="AB493" i="9"/>
  <c r="AA493" i="9" s="1"/>
  <c r="AB494" i="9"/>
  <c r="AA494" i="9" s="1"/>
  <c r="AB495" i="9"/>
  <c r="AA495" i="9" s="1"/>
  <c r="AB496" i="9"/>
  <c r="AA496" i="9" s="1"/>
  <c r="E534" i="9"/>
  <c r="F534" i="9"/>
  <c r="G534" i="9"/>
  <c r="I534" i="9"/>
  <c r="J534" i="9"/>
  <c r="L535" i="9"/>
  <c r="AA535" i="9"/>
  <c r="L536" i="9"/>
  <c r="AA536" i="9"/>
  <c r="L537" i="9"/>
  <c r="AA537" i="9"/>
  <c r="L538" i="9"/>
  <c r="U538" i="9"/>
  <c r="AA538" i="9"/>
  <c r="L539" i="9"/>
  <c r="AA539" i="9"/>
  <c r="L540" i="9"/>
  <c r="AA540" i="9"/>
  <c r="L541" i="9"/>
  <c r="AA541" i="9"/>
  <c r="L542" i="9"/>
  <c r="U542" i="9"/>
  <c r="AA542" i="9"/>
  <c r="L543" i="9"/>
  <c r="AA543" i="9"/>
  <c r="L544" i="9"/>
  <c r="AA544" i="9"/>
  <c r="L545" i="9"/>
  <c r="AA545" i="9"/>
  <c r="L546" i="9"/>
  <c r="U546" i="9"/>
  <c r="AA546" i="9"/>
  <c r="L547" i="9"/>
  <c r="AA547" i="9"/>
  <c r="L548" i="9"/>
  <c r="U548" i="9"/>
  <c r="AA548" i="9"/>
  <c r="L549" i="9"/>
  <c r="M549" i="9" s="1"/>
  <c r="L550" i="9"/>
  <c r="M550" i="9" s="1"/>
  <c r="U550" i="9" s="1"/>
  <c r="L551" i="9"/>
  <c r="M551" i="9" s="1"/>
  <c r="L552" i="9"/>
  <c r="M552" i="9" s="1"/>
  <c r="U552" i="9" s="1"/>
  <c r="L553" i="9"/>
  <c r="M553" i="9" s="1"/>
  <c r="L554" i="9"/>
  <c r="M554" i="9" s="1"/>
  <c r="U554" i="9" s="1"/>
  <c r="L555" i="9"/>
  <c r="M555" i="9" s="1"/>
  <c r="L556" i="9"/>
  <c r="M556" i="9" s="1"/>
  <c r="U556" i="9" s="1"/>
  <c r="L557" i="9"/>
  <c r="M557" i="9" s="1"/>
  <c r="L558" i="9"/>
  <c r="M558" i="9" s="1"/>
  <c r="U558" i="9" s="1"/>
  <c r="L559" i="9"/>
  <c r="M559" i="9" s="1"/>
  <c r="L560" i="9"/>
  <c r="M560" i="9" s="1"/>
  <c r="U560" i="9" s="1"/>
  <c r="L561" i="9"/>
  <c r="M561" i="9" s="1"/>
  <c r="L562" i="9"/>
  <c r="M562" i="9" s="1"/>
  <c r="U562" i="9" s="1"/>
  <c r="L563" i="9"/>
  <c r="M563" i="9" s="1"/>
  <c r="L564" i="9"/>
  <c r="M564" i="9" s="1"/>
  <c r="U564" i="9" s="1"/>
  <c r="L565" i="9"/>
  <c r="M565" i="9" s="1"/>
  <c r="L566" i="9"/>
  <c r="M566" i="9" s="1"/>
  <c r="U566" i="9" s="1"/>
  <c r="M567" i="9"/>
  <c r="U567" i="9" s="1"/>
  <c r="M568" i="9"/>
  <c r="U568" i="9" s="1"/>
  <c r="M569" i="9"/>
  <c r="U569" i="9" s="1"/>
  <c r="M570" i="9"/>
  <c r="U570" i="9" s="1"/>
  <c r="M571" i="9"/>
  <c r="U571" i="9" s="1"/>
  <c r="M572" i="9"/>
  <c r="U572" i="9" s="1"/>
  <c r="M573" i="9"/>
  <c r="U573" i="9" s="1"/>
  <c r="M574" i="9"/>
  <c r="U574" i="9" s="1"/>
  <c r="AB577" i="9"/>
  <c r="AB581" i="9"/>
  <c r="AB585" i="9"/>
  <c r="AB589" i="9"/>
  <c r="AB593" i="9"/>
  <c r="AB597" i="9"/>
  <c r="AB602" i="9"/>
  <c r="AA602" i="9" s="1"/>
  <c r="AB603" i="9"/>
  <c r="AA603" i="9" s="1"/>
  <c r="AB604" i="9"/>
  <c r="AA604" i="9" s="1"/>
  <c r="AB605" i="9"/>
  <c r="AA605" i="9" s="1"/>
  <c r="AB606" i="9"/>
  <c r="AA606" i="9" s="1"/>
  <c r="AB607" i="9"/>
  <c r="AA607" i="9" s="1"/>
  <c r="AB608" i="9"/>
  <c r="AA608" i="9" s="1"/>
  <c r="AB609" i="9"/>
  <c r="AA609" i="9" s="1"/>
  <c r="AB610" i="9"/>
  <c r="AA610" i="9" s="1"/>
  <c r="AB611" i="9"/>
  <c r="AA611" i="9" s="1"/>
  <c r="AB612" i="9"/>
  <c r="AA612" i="9" s="1"/>
  <c r="AB613" i="9"/>
  <c r="AA613" i="9" s="1"/>
  <c r="AB614" i="9"/>
  <c r="AA614" i="9" s="1"/>
  <c r="AB615" i="9"/>
  <c r="AA615" i="9" s="1"/>
  <c r="K636" i="9"/>
  <c r="L637" i="9"/>
  <c r="M637" i="9" s="1"/>
  <c r="L638" i="9"/>
  <c r="M638" i="9" s="1"/>
  <c r="L639" i="9"/>
  <c r="M639" i="9" s="1"/>
  <c r="L640" i="9"/>
  <c r="M640" i="9" s="1"/>
  <c r="L641" i="9"/>
  <c r="M641" i="9" s="1"/>
  <c r="L642" i="9"/>
  <c r="M642" i="9" s="1"/>
  <c r="L643" i="9"/>
  <c r="M643" i="9" s="1"/>
  <c r="L644" i="9"/>
  <c r="M644" i="9" s="1"/>
  <c r="L645" i="9"/>
  <c r="M645" i="9" s="1"/>
  <c r="L646" i="9"/>
  <c r="M646" i="9" s="1"/>
  <c r="M647" i="9"/>
  <c r="M648" i="9"/>
  <c r="M649" i="9"/>
  <c r="M650" i="9"/>
  <c r="M651" i="9"/>
  <c r="M652" i="9"/>
  <c r="M653" i="9"/>
  <c r="M654" i="9"/>
  <c r="M655" i="9"/>
  <c r="M656" i="9"/>
  <c r="M657" i="9"/>
  <c r="M658" i="9"/>
  <c r="M659" i="9"/>
  <c r="M660" i="9"/>
  <c r="M661" i="9"/>
  <c r="M662" i="9"/>
  <c r="AB666" i="9"/>
  <c r="AB670" i="9"/>
  <c r="AB674" i="9"/>
  <c r="AB678" i="9"/>
  <c r="AB682" i="9"/>
  <c r="AB686" i="9"/>
  <c r="AB690" i="9"/>
  <c r="AB694" i="9"/>
  <c r="K855" i="9"/>
  <c r="N856" i="9"/>
  <c r="S856" i="9" s="1"/>
  <c r="AC856" i="9" s="1"/>
  <c r="N857" i="9"/>
  <c r="S857" i="9" s="1"/>
  <c r="AC857" i="9" s="1"/>
  <c r="N858" i="9"/>
  <c r="S858" i="9" s="1"/>
  <c r="AC858" i="9" s="1"/>
  <c r="N859" i="9"/>
  <c r="S859" i="9" s="1"/>
  <c r="AC859" i="9" s="1"/>
  <c r="N860" i="9"/>
  <c r="S860" i="9" s="1"/>
  <c r="AC860" i="9" s="1"/>
  <c r="N861" i="9"/>
  <c r="S861" i="9" s="1"/>
  <c r="AC861" i="9" s="1"/>
  <c r="N862" i="9"/>
  <c r="S862" i="9" s="1"/>
  <c r="AC862" i="9" s="1"/>
  <c r="N863" i="9"/>
  <c r="S863" i="9" s="1"/>
  <c r="AC863" i="9" s="1"/>
  <c r="N864" i="9"/>
  <c r="S864" i="9" s="1"/>
  <c r="AC864" i="9" s="1"/>
  <c r="N865" i="9"/>
  <c r="S865" i="9" s="1"/>
  <c r="AC865" i="9" s="1"/>
  <c r="N866" i="9"/>
  <c r="S866" i="9" s="1"/>
  <c r="AC866" i="9" s="1"/>
  <c r="N867" i="9"/>
  <c r="S867" i="9" s="1"/>
  <c r="AC867" i="9" s="1"/>
  <c r="N868" i="9"/>
  <c r="S868" i="9" s="1"/>
  <c r="AC868" i="9" s="1"/>
  <c r="N869" i="9"/>
  <c r="S869" i="9" s="1"/>
  <c r="AC869" i="9" s="1"/>
  <c r="N870" i="9"/>
  <c r="S870" i="9" s="1"/>
  <c r="AC870" i="9" s="1"/>
  <c r="AB871" i="9"/>
  <c r="AA871" i="9" s="1"/>
  <c r="AB872" i="9"/>
  <c r="AA872" i="9" s="1"/>
  <c r="AB873" i="9"/>
  <c r="AA873" i="9" s="1"/>
  <c r="AB874" i="9"/>
  <c r="AA874" i="9" s="1"/>
  <c r="AB875" i="9"/>
  <c r="AA875" i="9" s="1"/>
  <c r="AB876" i="9"/>
  <c r="AA876" i="9" s="1"/>
  <c r="AB877" i="9"/>
  <c r="AA877" i="9" s="1"/>
  <c r="AB878" i="9"/>
  <c r="AA878" i="9" s="1"/>
  <c r="AB879" i="9"/>
  <c r="AA879" i="9" s="1"/>
  <c r="AB880" i="9"/>
  <c r="AA880" i="9" s="1"/>
  <c r="AB881" i="9"/>
  <c r="AA881" i="9" s="1"/>
  <c r="AB882" i="9"/>
  <c r="AA882" i="9" s="1"/>
  <c r="AB883" i="9"/>
  <c r="AA883" i="9" s="1"/>
  <c r="AB884" i="9"/>
  <c r="AA884" i="9" s="1"/>
  <c r="AB885" i="9"/>
  <c r="AA885" i="9" s="1"/>
  <c r="AB886" i="9"/>
  <c r="AA886" i="9" s="1"/>
  <c r="AB887" i="9"/>
  <c r="AA887" i="9" s="1"/>
  <c r="AB888" i="9"/>
  <c r="AA888" i="9" s="1"/>
  <c r="AB889" i="9"/>
  <c r="AA889" i="9" s="1"/>
  <c r="AB890" i="9"/>
  <c r="AA890" i="9" s="1"/>
  <c r="AB891" i="9"/>
  <c r="AA891" i="9" s="1"/>
  <c r="AB892" i="9"/>
  <c r="AA892" i="9" s="1"/>
  <c r="AB893" i="9"/>
  <c r="AA893" i="9" s="1"/>
  <c r="AB894" i="9"/>
  <c r="AA894" i="9" s="1"/>
  <c r="AB895" i="9"/>
  <c r="AA895" i="9" s="1"/>
  <c r="AB896" i="9"/>
  <c r="AA896" i="9" s="1"/>
  <c r="AB897" i="9"/>
  <c r="AA897" i="9" s="1"/>
  <c r="AB898" i="9"/>
  <c r="AA898" i="9" s="1"/>
  <c r="AB899" i="9"/>
  <c r="AA899" i="9" s="1"/>
  <c r="L1017" i="9"/>
  <c r="AB1018" i="9"/>
  <c r="AB1019" i="9"/>
  <c r="AA1019" i="9" s="1"/>
  <c r="AB1020" i="9"/>
  <c r="AA1020" i="9" s="1"/>
  <c r="AB1021" i="9"/>
  <c r="AA1021" i="9" s="1"/>
  <c r="AB1022" i="9"/>
  <c r="AA1022" i="9" s="1"/>
  <c r="AB1023" i="9"/>
  <c r="AA1023" i="9" s="1"/>
  <c r="AB1024" i="9"/>
  <c r="AA1024" i="9" s="1"/>
  <c r="E1168" i="9"/>
  <c r="F1168" i="9"/>
  <c r="G1168" i="9"/>
  <c r="I1168" i="9"/>
  <c r="J1168" i="9"/>
  <c r="K1168" i="9"/>
  <c r="L1168" i="9"/>
  <c r="F1296" i="9"/>
  <c r="I7" i="4"/>
  <c r="I8" i="4" s="1"/>
  <c r="N8" i="4"/>
  <c r="H8" i="4"/>
  <c r="K8" i="4"/>
  <c r="O8" i="4"/>
  <c r="I10" i="4"/>
  <c r="J10" i="4" s="1"/>
  <c r="H11" i="4"/>
  <c r="I11" i="4"/>
  <c r="K11" i="4"/>
  <c r="L11" i="4"/>
  <c r="N11" i="4"/>
  <c r="O11" i="4"/>
  <c r="I14" i="4"/>
  <c r="J14" i="4" s="1"/>
  <c r="H15" i="4"/>
  <c r="I15" i="4"/>
  <c r="K15" i="4"/>
  <c r="L15" i="4"/>
  <c r="N15" i="4"/>
  <c r="O15" i="4"/>
  <c r="I17" i="4"/>
  <c r="J17" i="4" s="1"/>
  <c r="H18" i="4"/>
  <c r="I18" i="4"/>
  <c r="K18" i="4"/>
  <c r="L18" i="4"/>
  <c r="N18" i="4"/>
  <c r="O18" i="4"/>
  <c r="I20" i="4"/>
  <c r="J20" i="4" s="1"/>
  <c r="H21" i="4"/>
  <c r="I21" i="4"/>
  <c r="K21" i="4"/>
  <c r="L21" i="4"/>
  <c r="N21" i="4"/>
  <c r="O21" i="4"/>
  <c r="I23" i="4"/>
  <c r="J23" i="4" s="1"/>
  <c r="H24" i="4"/>
  <c r="I24" i="4"/>
  <c r="K24" i="4"/>
  <c r="L24" i="4"/>
  <c r="N24" i="4"/>
  <c r="O24" i="4"/>
  <c r="I26" i="4"/>
  <c r="J26" i="4" s="1"/>
  <c r="B27" i="4"/>
  <c r="C27" i="4"/>
  <c r="H27" i="4"/>
  <c r="I27" i="4"/>
  <c r="K27" i="4"/>
  <c r="L27" i="4"/>
  <c r="N27" i="4"/>
  <c r="O27" i="4"/>
  <c r="I28" i="4"/>
  <c r="J28" i="4" s="1"/>
  <c r="B29" i="4"/>
  <c r="C29" i="4"/>
  <c r="H29" i="4"/>
  <c r="I29" i="4"/>
  <c r="K29" i="4"/>
  <c r="L29" i="4"/>
  <c r="N29" i="4"/>
  <c r="O29" i="4"/>
  <c r="C30" i="4"/>
  <c r="B31" i="4"/>
  <c r="C31" i="4"/>
  <c r="H31" i="4"/>
  <c r="I31" i="4"/>
  <c r="K31" i="4"/>
  <c r="L31" i="4"/>
  <c r="N31" i="4"/>
  <c r="O31" i="4"/>
  <c r="B33" i="4"/>
  <c r="C33" i="4"/>
  <c r="H33" i="4"/>
  <c r="I33" i="4"/>
  <c r="K33" i="4"/>
  <c r="L33" i="4"/>
  <c r="N33" i="4"/>
  <c r="O33" i="4"/>
  <c r="C34" i="4"/>
  <c r="I34" i="4" s="1"/>
  <c r="N34" i="4"/>
  <c r="B35" i="4"/>
  <c r="C35" i="4"/>
  <c r="H35" i="4"/>
  <c r="K35" i="4"/>
  <c r="L35" i="4"/>
  <c r="N35" i="4"/>
  <c r="C36" i="4"/>
  <c r="N36" i="4"/>
  <c r="O36" i="4"/>
  <c r="B37" i="4"/>
  <c r="C37" i="4"/>
  <c r="H37" i="4"/>
  <c r="I37" i="4"/>
  <c r="N37" i="4"/>
  <c r="O37" i="4"/>
  <c r="C39" i="4"/>
  <c r="N39" i="4"/>
  <c r="O39" i="4"/>
  <c r="B40" i="4"/>
  <c r="C40" i="4"/>
  <c r="H40" i="4"/>
  <c r="I40" i="4"/>
  <c r="K40" i="4"/>
  <c r="L40" i="4"/>
  <c r="N40" i="4"/>
  <c r="O40" i="4"/>
  <c r="C41" i="4"/>
  <c r="C42" i="4"/>
  <c r="O41" i="4"/>
  <c r="O42" i="4"/>
  <c r="B42" i="4"/>
  <c r="H42" i="4"/>
  <c r="I42" i="4"/>
  <c r="K42" i="4"/>
  <c r="L42" i="4"/>
  <c r="N42" i="4"/>
  <c r="C43" i="4"/>
  <c r="B44" i="4"/>
  <c r="C44" i="4"/>
  <c r="H44" i="4"/>
  <c r="K44" i="4"/>
  <c r="L44" i="4"/>
  <c r="N44" i="4"/>
  <c r="B49" i="4"/>
  <c r="H6" i="3"/>
  <c r="F6" i="3"/>
  <c r="G6" i="3"/>
  <c r="I6" i="3"/>
  <c r="E14" i="7" s="1"/>
  <c r="J6" i="3"/>
  <c r="F14" i="7" s="1"/>
  <c r="K6" i="3"/>
  <c r="G14" i="7" s="1"/>
  <c r="L6" i="3"/>
  <c r="H14" i="7" s="1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D20" i="8"/>
  <c r="E20" i="8"/>
  <c r="F20" i="8"/>
  <c r="G20" i="8"/>
  <c r="H20" i="8"/>
  <c r="I20" i="8"/>
  <c r="J20" i="8"/>
  <c r="K20" i="8"/>
  <c r="L20" i="8"/>
  <c r="M20" i="8"/>
  <c r="K6" i="21"/>
  <c r="L6" i="21" s="1"/>
  <c r="K7" i="21"/>
  <c r="L7" i="21" s="1"/>
  <c r="K8" i="21"/>
  <c r="K9" i="21"/>
  <c r="K10" i="21"/>
  <c r="K11" i="21"/>
  <c r="K12" i="21"/>
  <c r="K13" i="21"/>
  <c r="K14" i="21"/>
  <c r="L14" i="21" s="1"/>
  <c r="K15" i="21"/>
  <c r="L15" i="21" s="1"/>
  <c r="O15" i="21" s="1"/>
  <c r="K16" i="21"/>
  <c r="L16" i="21" s="1"/>
  <c r="O16" i="21" s="1"/>
  <c r="K17" i="21"/>
  <c r="Q17" i="21" s="1"/>
  <c r="R17" i="21" s="1"/>
  <c r="K18" i="21"/>
  <c r="L18" i="21" s="1"/>
  <c r="K19" i="21"/>
  <c r="L19" i="21" s="1"/>
  <c r="K20" i="21"/>
  <c r="L20" i="21" s="1"/>
  <c r="K21" i="21"/>
  <c r="L21" i="21" s="1"/>
  <c r="K22" i="21"/>
  <c r="L22" i="21" s="1"/>
  <c r="Q22" i="21"/>
  <c r="R22" i="21" s="1"/>
  <c r="K23" i="21"/>
  <c r="L23" i="21" s="1"/>
  <c r="K24" i="21"/>
  <c r="L24" i="21" s="1"/>
  <c r="K25" i="21"/>
  <c r="L25" i="21" s="1"/>
  <c r="K26" i="21"/>
  <c r="L26" i="21" s="1"/>
  <c r="K27" i="21"/>
  <c r="L27" i="21" s="1"/>
  <c r="K28" i="21"/>
  <c r="L28" i="21" s="1"/>
  <c r="K29" i="21"/>
  <c r="L29" i="21" s="1"/>
  <c r="K30" i="21"/>
  <c r="L30" i="21" s="1"/>
  <c r="K31" i="21"/>
  <c r="L31" i="21" s="1"/>
  <c r="K32" i="21"/>
  <c r="L32" i="21" s="1"/>
  <c r="K33" i="21"/>
  <c r="L33" i="21" s="1"/>
  <c r="K34" i="21"/>
  <c r="L34" i="21" s="1"/>
  <c r="K35" i="21"/>
  <c r="J35" i="21" s="1"/>
  <c r="P35" i="21" s="1"/>
  <c r="K36" i="21"/>
  <c r="J36" i="21" s="1"/>
  <c r="P36" i="21" s="1"/>
  <c r="K37" i="21"/>
  <c r="J37" i="21" s="1"/>
  <c r="P37" i="21" s="1"/>
  <c r="K38" i="21"/>
  <c r="J38" i="21" s="1"/>
  <c r="P38" i="21" s="1"/>
  <c r="K39" i="21"/>
  <c r="L39" i="21" s="1"/>
  <c r="M58" i="21"/>
  <c r="C9" i="7"/>
  <c r="C16" i="7"/>
  <c r="C19" i="7"/>
  <c r="D19" i="7"/>
  <c r="E19" i="7"/>
  <c r="F19" i="7"/>
  <c r="G19" i="7"/>
  <c r="H19" i="7"/>
  <c r="C22" i="7"/>
  <c r="D22" i="7"/>
  <c r="E22" i="7"/>
  <c r="F22" i="7"/>
  <c r="G22" i="7"/>
  <c r="H22" i="7"/>
  <c r="C31" i="7"/>
  <c r="D31" i="7"/>
  <c r="E31" i="7"/>
  <c r="F31" i="7"/>
  <c r="G31" i="7"/>
  <c r="H31" i="7"/>
  <c r="K5" i="21"/>
  <c r="O5" i="21" s="1"/>
  <c r="C49" i="4"/>
  <c r="Q38" i="21"/>
  <c r="R38" i="21" s="1"/>
  <c r="Q36" i="21"/>
  <c r="R36" i="21" s="1"/>
  <c r="Q35" i="21"/>
  <c r="R35" i="21" s="1"/>
  <c r="Q34" i="21"/>
  <c r="R34" i="21" s="1"/>
  <c r="J34" i="21"/>
  <c r="P34" i="21" s="1"/>
  <c r="P28" i="4" l="1"/>
  <c r="P29" i="4" s="1"/>
  <c r="J29" i="4"/>
  <c r="P26" i="4"/>
  <c r="P27" i="4" s="1"/>
  <c r="J27" i="4"/>
  <c r="P23" i="4"/>
  <c r="P24" i="4" s="1"/>
  <c r="J24" i="4"/>
  <c r="P20" i="4"/>
  <c r="P21" i="4" s="1"/>
  <c r="J21" i="4"/>
  <c r="J18" i="4"/>
  <c r="P17" i="4"/>
  <c r="P18" i="4" s="1"/>
  <c r="P14" i="4"/>
  <c r="P15" i="4" s="1"/>
  <c r="J15" i="4"/>
  <c r="J11" i="4"/>
  <c r="P10" i="4"/>
  <c r="P11" i="4" s="1"/>
  <c r="I15" i="6"/>
  <c r="D15" i="7" s="1"/>
  <c r="P30" i="4"/>
  <c r="P31" i="4" s="1"/>
  <c r="J31" i="4"/>
  <c r="F15" i="7"/>
  <c r="E15" i="7"/>
  <c r="J7" i="4"/>
  <c r="J33" i="4"/>
  <c r="L9" i="6"/>
  <c r="L10" i="6"/>
  <c r="L13" i="6"/>
  <c r="L14" i="6"/>
  <c r="AB827" i="9"/>
  <c r="AC827" i="9"/>
  <c r="AB828" i="9"/>
  <c r="AC828" i="9"/>
  <c r="AB829" i="9"/>
  <c r="AC829" i="9"/>
  <c r="AB830" i="9"/>
  <c r="AC830" i="9"/>
  <c r="AB831" i="9"/>
  <c r="AC831" i="9"/>
  <c r="AB832" i="9"/>
  <c r="AC832" i="9"/>
  <c r="AB982" i="9"/>
  <c r="AC982" i="9"/>
  <c r="AB983" i="9"/>
  <c r="AC983" i="9"/>
  <c r="AB984" i="9"/>
  <c r="AC984" i="9"/>
  <c r="AB1106" i="9"/>
  <c r="AC1106" i="9"/>
  <c r="AB1107" i="9"/>
  <c r="AC1107" i="9"/>
  <c r="AB1108" i="9"/>
  <c r="AC1108" i="9"/>
  <c r="AB1109" i="9"/>
  <c r="AC1109" i="9"/>
  <c r="AB1110" i="9"/>
  <c r="AC1110" i="9"/>
  <c r="AB1214" i="9"/>
  <c r="AC1214" i="9"/>
  <c r="AB1215" i="9"/>
  <c r="AC1215" i="9"/>
  <c r="AB1216" i="9"/>
  <c r="AC1216" i="9"/>
  <c r="AB1217" i="9"/>
  <c r="AC1217" i="9"/>
  <c r="AB1218" i="9"/>
  <c r="AC1218" i="9"/>
  <c r="AB1219" i="9"/>
  <c r="AC1219" i="9"/>
  <c r="AB986" i="9"/>
  <c r="AC986" i="9"/>
  <c r="AB996" i="9"/>
  <c r="AC996" i="9"/>
  <c r="AB999" i="9"/>
  <c r="AC999" i="9"/>
  <c r="AB1001" i="9"/>
  <c r="AC1001" i="9"/>
  <c r="AB1111" i="9"/>
  <c r="AC1111" i="9"/>
  <c r="AB1112" i="9"/>
  <c r="AC1112" i="9"/>
  <c r="AB1113" i="9"/>
  <c r="AC1113" i="9"/>
  <c r="AB1114" i="9"/>
  <c r="AC1114" i="9"/>
  <c r="AB1220" i="9"/>
  <c r="AC1220" i="9"/>
  <c r="AB1221" i="9"/>
  <c r="AC1221" i="9"/>
  <c r="AB1115" i="9"/>
  <c r="AC1115" i="9"/>
  <c r="AB1222" i="9"/>
  <c r="AC1222" i="9"/>
  <c r="AB833" i="9"/>
  <c r="AC833" i="9"/>
  <c r="AB834" i="9"/>
  <c r="AC834" i="9"/>
  <c r="AB835" i="9"/>
  <c r="AC835" i="9"/>
  <c r="AB1223" i="9"/>
  <c r="AC1223" i="9"/>
  <c r="AB1224" i="9"/>
  <c r="AC1224" i="9"/>
  <c r="AB1225" i="9"/>
  <c r="AC1225" i="9"/>
  <c r="AB1226" i="9"/>
  <c r="AC1226" i="9"/>
  <c r="AB1227" i="9"/>
  <c r="AC1227" i="9"/>
  <c r="AB836" i="9"/>
  <c r="AC836" i="9"/>
  <c r="AB837" i="9"/>
  <c r="AC837" i="9"/>
  <c r="AB1116" i="9"/>
  <c r="AC1116" i="9"/>
  <c r="AB1117" i="9"/>
  <c r="AC1117" i="9"/>
  <c r="AB1228" i="9"/>
  <c r="AC1228" i="9"/>
  <c r="AB1229" i="9"/>
  <c r="AC1229" i="9"/>
  <c r="AB1230" i="9"/>
  <c r="AC1230" i="9"/>
  <c r="AB1231" i="9"/>
  <c r="AC1231" i="9"/>
  <c r="AB1232" i="9"/>
  <c r="AC1232" i="9"/>
  <c r="AB1233" i="9"/>
  <c r="AC1233" i="9"/>
  <c r="AB838" i="9"/>
  <c r="AC838" i="9"/>
  <c r="AB987" i="9"/>
  <c r="AC987" i="9"/>
  <c r="AB988" i="9"/>
  <c r="AC988" i="9"/>
  <c r="AB989" i="9"/>
  <c r="AC989" i="9"/>
  <c r="AB990" i="9"/>
  <c r="AC990" i="9"/>
  <c r="AB1118" i="9"/>
  <c r="AC1118" i="9"/>
  <c r="AB1119" i="9"/>
  <c r="AC1119" i="9"/>
  <c r="AB1120" i="9"/>
  <c r="AC1120" i="9"/>
  <c r="AB1121" i="9"/>
  <c r="AC1121" i="9"/>
  <c r="AB1122" i="9"/>
  <c r="AC1122" i="9"/>
  <c r="AB1234" i="9"/>
  <c r="AC1234" i="9"/>
  <c r="AB839" i="9"/>
  <c r="AC839" i="9"/>
  <c r="AB840" i="9"/>
  <c r="AC840" i="9"/>
  <c r="AB1123" i="9"/>
  <c r="AC1123" i="9"/>
  <c r="AB1235" i="9"/>
  <c r="AC1235" i="9"/>
  <c r="AB841" i="9"/>
  <c r="AC841" i="9"/>
  <c r="AB842" i="9"/>
  <c r="AC842" i="9"/>
  <c r="AB1124" i="9"/>
  <c r="AC1124" i="9"/>
  <c r="AB1125" i="9"/>
  <c r="AC1125" i="9"/>
  <c r="AB1126" i="9"/>
  <c r="AC1126" i="9"/>
  <c r="AB1127" i="9"/>
  <c r="AC1127" i="9"/>
  <c r="AB1236" i="9"/>
  <c r="AC1236" i="9"/>
  <c r="AB1237" i="9"/>
  <c r="AC1237" i="9"/>
  <c r="AB843" i="9"/>
  <c r="AC843" i="9"/>
  <c r="AB1128" i="9"/>
  <c r="AC1128" i="9"/>
  <c r="AB1238" i="9"/>
  <c r="AC1238" i="9"/>
  <c r="AB1239" i="9"/>
  <c r="AC1239" i="9"/>
  <c r="AB1240" i="9"/>
  <c r="AC1240" i="9"/>
  <c r="AB844" i="9"/>
  <c r="AC844" i="9"/>
  <c r="AB991" i="9"/>
  <c r="AC991" i="9"/>
  <c r="AB992" i="9"/>
  <c r="AC992" i="9"/>
  <c r="AB993" i="9"/>
  <c r="AC993" i="9"/>
  <c r="AB994" i="9"/>
  <c r="AC994" i="9"/>
  <c r="AB995" i="9"/>
  <c r="AC995" i="9"/>
  <c r="AB1129" i="9"/>
  <c r="AC1129" i="9"/>
  <c r="AB1130" i="9"/>
  <c r="AC1130" i="9"/>
  <c r="AB1131" i="9"/>
  <c r="AC1131" i="9"/>
  <c r="AB1241" i="9"/>
  <c r="AC1241" i="9"/>
  <c r="AB1242" i="9"/>
  <c r="AC1242" i="9"/>
  <c r="AB1243" i="9"/>
  <c r="AC1243" i="9"/>
  <c r="AB1244" i="9"/>
  <c r="AC1244" i="9"/>
  <c r="AB1245" i="9"/>
  <c r="AC1245" i="9"/>
  <c r="AB1246" i="9"/>
  <c r="AC1246" i="9"/>
  <c r="AB1247" i="9"/>
  <c r="AC1247" i="9"/>
  <c r="AB845" i="9"/>
  <c r="AC845" i="9"/>
  <c r="AB997" i="9"/>
  <c r="AC997" i="9"/>
  <c r="AB998" i="9"/>
  <c r="AC998" i="9"/>
  <c r="AB1132" i="9"/>
  <c r="AC1132" i="9"/>
  <c r="AB1133" i="9"/>
  <c r="AC1133" i="9"/>
  <c r="AB1248" i="9"/>
  <c r="AC1248" i="9"/>
  <c r="AB1249" i="9"/>
  <c r="AC1249" i="9"/>
  <c r="AB1250" i="9"/>
  <c r="AC1250" i="9"/>
  <c r="AB846" i="9"/>
  <c r="AC846" i="9"/>
  <c r="AB1134" i="9"/>
  <c r="AC1134" i="9"/>
  <c r="AB1135" i="9"/>
  <c r="AC1135" i="9"/>
  <c r="AB1251" i="9"/>
  <c r="AC1251" i="9"/>
  <c r="AB1252" i="9"/>
  <c r="AC1252" i="9"/>
  <c r="AB1253" i="9"/>
  <c r="AC1253" i="9"/>
  <c r="AB1254" i="9"/>
  <c r="AC1254" i="9"/>
  <c r="AB362" i="9"/>
  <c r="AC362" i="9"/>
  <c r="AB532" i="9"/>
  <c r="AC532" i="9"/>
  <c r="AB1000" i="9"/>
  <c r="AC1000" i="9"/>
  <c r="AB1136" i="9"/>
  <c r="AC1136" i="9"/>
  <c r="AB1255" i="9"/>
  <c r="AC1255" i="9"/>
  <c r="AB1002" i="9"/>
  <c r="AC1002" i="9"/>
  <c r="AB847" i="9"/>
  <c r="AC847" i="9"/>
  <c r="AB1003" i="9"/>
  <c r="AC1003" i="9"/>
  <c r="AB1137" i="9"/>
  <c r="AC1137" i="9"/>
  <c r="AB1138" i="9"/>
  <c r="AC1138" i="9"/>
  <c r="AB1139" i="9"/>
  <c r="AC1139" i="9"/>
  <c r="AB1140" i="9"/>
  <c r="AC1140" i="9"/>
  <c r="AB1141" i="9"/>
  <c r="AC1141" i="9"/>
  <c r="AB1256" i="9"/>
  <c r="AC1256" i="9"/>
  <c r="AB1257" i="9"/>
  <c r="AC1257" i="9"/>
  <c r="AB848" i="9"/>
  <c r="AC848" i="9"/>
  <c r="AB1004" i="9"/>
  <c r="AC1004" i="9"/>
  <c r="AB1005" i="9"/>
  <c r="AC1005" i="9"/>
  <c r="AB1142" i="9"/>
  <c r="AC1142" i="9"/>
  <c r="AB1143" i="9"/>
  <c r="AC1143" i="9"/>
  <c r="AB1144" i="9"/>
  <c r="AC1144" i="9"/>
  <c r="AB1258" i="9"/>
  <c r="AC1258" i="9"/>
  <c r="AB1145" i="9"/>
  <c r="AC1145" i="9"/>
  <c r="AB1259" i="9"/>
  <c r="AC1259" i="9"/>
  <c r="AB1260" i="9"/>
  <c r="AC1260" i="9"/>
  <c r="AB849" i="9"/>
  <c r="AC849" i="9"/>
  <c r="AB850" i="9"/>
  <c r="AC850" i="9"/>
  <c r="AB1006" i="9"/>
  <c r="AC1006" i="9"/>
  <c r="AB1007" i="9"/>
  <c r="AC1007" i="9"/>
  <c r="AB1008" i="9"/>
  <c r="AC1008" i="9"/>
  <c r="AB1146" i="9"/>
  <c r="AC1146" i="9"/>
  <c r="AB1147" i="9"/>
  <c r="AC1147" i="9"/>
  <c r="AB1148" i="9"/>
  <c r="AC1148" i="9"/>
  <c r="AB1261" i="9"/>
  <c r="AC1261" i="9"/>
  <c r="AB1262" i="9"/>
  <c r="AC1262" i="9"/>
  <c r="AB1263" i="9"/>
  <c r="AC1263" i="9"/>
  <c r="AB1264" i="9"/>
  <c r="AC1264" i="9"/>
  <c r="AB1009" i="9"/>
  <c r="AC1009" i="9"/>
  <c r="AB1149" i="9"/>
  <c r="AC1149" i="9"/>
  <c r="AB1150" i="9"/>
  <c r="AC1150" i="9"/>
  <c r="AB1151" i="9"/>
  <c r="AC1151" i="9"/>
  <c r="AB1265" i="9"/>
  <c r="AC1265" i="9"/>
  <c r="AB851" i="9"/>
  <c r="AC851" i="9"/>
  <c r="AB1283" i="9"/>
  <c r="AC1283" i="9"/>
  <c r="AB1152" i="9"/>
  <c r="AC1152" i="9"/>
  <c r="AB1266" i="9"/>
  <c r="AC1266" i="9"/>
  <c r="AB1267" i="9"/>
  <c r="AC1267" i="9"/>
  <c r="AB852" i="9"/>
  <c r="AC852" i="9"/>
  <c r="AB1010" i="9"/>
  <c r="AC1010" i="9"/>
  <c r="AB1011" i="9"/>
  <c r="AC1011" i="9"/>
  <c r="AB1153" i="9"/>
  <c r="AC1153" i="9"/>
  <c r="AB1154" i="9"/>
  <c r="AC1154" i="9"/>
  <c r="AB1155" i="9"/>
  <c r="AC1155" i="9"/>
  <c r="AB1156" i="9"/>
  <c r="AC1156" i="9"/>
  <c r="AB1157" i="9"/>
  <c r="AC1157" i="9"/>
  <c r="AB1268" i="9"/>
  <c r="AC1268" i="9"/>
  <c r="AB1269" i="9"/>
  <c r="AC1269" i="9"/>
  <c r="AB1284" i="9"/>
  <c r="AC1284" i="9"/>
  <c r="AB1285" i="9"/>
  <c r="AC1285" i="9"/>
  <c r="AB1286" i="9"/>
  <c r="AC1286" i="9"/>
  <c r="AB1287" i="9"/>
  <c r="AC1287" i="9"/>
  <c r="AB1289" i="9"/>
  <c r="AC1289" i="9"/>
  <c r="AB533" i="9"/>
  <c r="AC533" i="9"/>
  <c r="AB1012" i="9"/>
  <c r="AC1012" i="9"/>
  <c r="AB1158" i="9"/>
  <c r="AC1158" i="9"/>
  <c r="AB1270" i="9"/>
  <c r="AC1270" i="9"/>
  <c r="AB1271" i="9"/>
  <c r="AC1271" i="9"/>
  <c r="AB853" i="9"/>
  <c r="AC853" i="9"/>
  <c r="AB854" i="9"/>
  <c r="AC854" i="9"/>
  <c r="AB1159" i="9"/>
  <c r="AC1159" i="9"/>
  <c r="AB1160" i="9"/>
  <c r="AC1160" i="9"/>
  <c r="AB1272" i="9"/>
  <c r="AC1272" i="9"/>
  <c r="AB1161" i="9"/>
  <c r="AC1161" i="9"/>
  <c r="AB1288" i="9"/>
  <c r="AC1288" i="9"/>
  <c r="AB1162" i="9"/>
  <c r="AC1162" i="9"/>
  <c r="AB1273" i="9"/>
  <c r="AC1273" i="9"/>
  <c r="AB1163" i="9"/>
  <c r="AC1163" i="9"/>
  <c r="AB1164" i="9"/>
  <c r="AC1164" i="9"/>
  <c r="AB1274" i="9"/>
  <c r="AC1274" i="9"/>
  <c r="AB1275" i="9"/>
  <c r="AC1275" i="9"/>
  <c r="AB1276" i="9"/>
  <c r="AC1276" i="9"/>
  <c r="AB1277" i="9"/>
  <c r="AC1277" i="9"/>
  <c r="AB1013" i="9"/>
  <c r="AC1013" i="9"/>
  <c r="AB1014" i="9"/>
  <c r="AC1014" i="9"/>
  <c r="AB1015" i="9"/>
  <c r="AC1015" i="9"/>
  <c r="AB1278" i="9"/>
  <c r="AC1278" i="9"/>
  <c r="AB1279" i="9"/>
  <c r="AC1279" i="9"/>
  <c r="AB363" i="9"/>
  <c r="AC363" i="9"/>
  <c r="AB1016" i="9"/>
  <c r="AC1016" i="9"/>
  <c r="AB1167" i="9"/>
  <c r="AC1167" i="9"/>
  <c r="AB1280" i="9"/>
  <c r="AC1280" i="9"/>
  <c r="AB1281" i="9"/>
  <c r="AC1281" i="9"/>
  <c r="S17" i="9"/>
  <c r="AC17" i="9" s="1"/>
  <c r="S18" i="9"/>
  <c r="AC18" i="9" s="1"/>
  <c r="S19" i="9"/>
  <c r="AC19" i="9" s="1"/>
  <c r="S20" i="9"/>
  <c r="AC20" i="9" s="1"/>
  <c r="S21" i="9"/>
  <c r="AC21" i="9" s="1"/>
  <c r="S26" i="9"/>
  <c r="AC26" i="9" s="1"/>
  <c r="S27" i="9"/>
  <c r="AC27" i="9" s="1"/>
  <c r="S28" i="9"/>
  <c r="AC28" i="9" s="1"/>
  <c r="S29" i="9"/>
  <c r="AC29" i="9" s="1"/>
  <c r="S30" i="9"/>
  <c r="AC30" i="9" s="1"/>
  <c r="S31" i="9"/>
  <c r="AC31" i="9" s="1"/>
  <c r="S36" i="9"/>
  <c r="AC36" i="9" s="1"/>
  <c r="S37" i="9"/>
  <c r="AC37" i="9" s="1"/>
  <c r="S38" i="9"/>
  <c r="AC38" i="9" s="1"/>
  <c r="S39" i="9"/>
  <c r="AC39" i="9" s="1"/>
  <c r="S40" i="9"/>
  <c r="AC40" i="9" s="1"/>
  <c r="S49" i="9"/>
  <c r="AC49" i="9" s="1"/>
  <c r="S50" i="9"/>
  <c r="AC50" i="9" s="1"/>
  <c r="S51" i="9"/>
  <c r="AC51" i="9" s="1"/>
  <c r="S52" i="9"/>
  <c r="AC52" i="9" s="1"/>
  <c r="S53" i="9"/>
  <c r="AC53" i="9" s="1"/>
  <c r="S54" i="9"/>
  <c r="AC54" i="9" s="1"/>
  <c r="S55" i="9"/>
  <c r="AC55" i="9" s="1"/>
  <c r="S57" i="9"/>
  <c r="AC57" i="9" s="1"/>
  <c r="S58" i="9"/>
  <c r="AC58" i="9" s="1"/>
  <c r="S59" i="9"/>
  <c r="AC59" i="9" s="1"/>
  <c r="S60" i="9"/>
  <c r="AC60" i="9" s="1"/>
  <c r="S61" i="9"/>
  <c r="AC61" i="9" s="1"/>
  <c r="S62" i="9"/>
  <c r="AC62" i="9" s="1"/>
  <c r="S63" i="9"/>
  <c r="AC63" i="9" s="1"/>
  <c r="S64" i="9"/>
  <c r="AC64" i="9" s="1"/>
  <c r="S65" i="9"/>
  <c r="AC65" i="9" s="1"/>
  <c r="S67" i="9"/>
  <c r="AC67" i="9" s="1"/>
  <c r="S68" i="9"/>
  <c r="AC68" i="9" s="1"/>
  <c r="S69" i="9"/>
  <c r="AC69" i="9" s="1"/>
  <c r="S70" i="9"/>
  <c r="AC70" i="9" s="1"/>
  <c r="S77" i="9"/>
  <c r="AC77" i="9" s="1"/>
  <c r="S79" i="9"/>
  <c r="AC79" i="9" s="1"/>
  <c r="S80" i="9"/>
  <c r="AC80" i="9" s="1"/>
  <c r="S81" i="9"/>
  <c r="AC81" i="9" s="1"/>
  <c r="S82" i="9"/>
  <c r="AC82" i="9" s="1"/>
  <c r="S83" i="9"/>
  <c r="AC83" i="9" s="1"/>
  <c r="S84" i="9"/>
  <c r="AC84" i="9" s="1"/>
  <c r="S86" i="9"/>
  <c r="AC86" i="9" s="1"/>
  <c r="S98" i="9"/>
  <c r="AC98" i="9" s="1"/>
  <c r="S99" i="9"/>
  <c r="AC99" i="9" s="1"/>
  <c r="S100" i="9"/>
  <c r="AC100" i="9" s="1"/>
  <c r="S101" i="9"/>
  <c r="AC101" i="9" s="1"/>
  <c r="S102" i="9"/>
  <c r="AC102" i="9" s="1"/>
  <c r="S103" i="9"/>
  <c r="AC103" i="9" s="1"/>
  <c r="S104" i="9"/>
  <c r="AC104" i="9" s="1"/>
  <c r="S105" i="9"/>
  <c r="AC105" i="9" s="1"/>
  <c r="S106" i="9"/>
  <c r="AC106" i="9" s="1"/>
  <c r="S107" i="9"/>
  <c r="AC107" i="9" s="1"/>
  <c r="S108" i="9"/>
  <c r="AC108" i="9" s="1"/>
  <c r="S110" i="9"/>
  <c r="AC110" i="9" s="1"/>
  <c r="S111" i="9"/>
  <c r="AC111" i="9" s="1"/>
  <c r="S112" i="9"/>
  <c r="AC112" i="9" s="1"/>
  <c r="S113" i="9"/>
  <c r="AC113" i="9" s="1"/>
  <c r="S114" i="9"/>
  <c r="AC114" i="9" s="1"/>
  <c r="S115" i="9"/>
  <c r="AC115" i="9" s="1"/>
  <c r="S116" i="9"/>
  <c r="AC116" i="9" s="1"/>
  <c r="S117" i="9"/>
  <c r="AC117" i="9" s="1"/>
  <c r="S118" i="9"/>
  <c r="AC118" i="9" s="1"/>
  <c r="S124" i="9"/>
  <c r="AC124" i="9" s="1"/>
  <c r="S125" i="9"/>
  <c r="AC125" i="9" s="1"/>
  <c r="S127" i="9"/>
  <c r="AC127" i="9" s="1"/>
  <c r="S128" i="9"/>
  <c r="AC128" i="9" s="1"/>
  <c r="S129" i="9"/>
  <c r="AC129" i="9" s="1"/>
  <c r="S131" i="9"/>
  <c r="AC131" i="9" s="1"/>
  <c r="S132" i="9"/>
  <c r="AC132" i="9" s="1"/>
  <c r="S133" i="9"/>
  <c r="AC133" i="9" s="1"/>
  <c r="S154" i="9"/>
  <c r="AC154" i="9" s="1"/>
  <c r="S155" i="9"/>
  <c r="AC155" i="9" s="1"/>
  <c r="S156" i="9"/>
  <c r="AC156" i="9" s="1"/>
  <c r="S157" i="9"/>
  <c r="AC157" i="9" s="1"/>
  <c r="S158" i="9"/>
  <c r="AC158" i="9" s="1"/>
  <c r="S159" i="9"/>
  <c r="AC159" i="9" s="1"/>
  <c r="S160" i="9"/>
  <c r="AC160" i="9" s="1"/>
  <c r="S161" i="9"/>
  <c r="AC161" i="9" s="1"/>
  <c r="S162" i="9"/>
  <c r="AC162" i="9" s="1"/>
  <c r="S163" i="9"/>
  <c r="AC163" i="9" s="1"/>
  <c r="S164" i="9"/>
  <c r="AC164" i="9" s="1"/>
  <c r="S165" i="9"/>
  <c r="AC165" i="9" s="1"/>
  <c r="S166" i="9"/>
  <c r="AC166" i="9" s="1"/>
  <c r="S167" i="9"/>
  <c r="AC167" i="9" s="1"/>
  <c r="S168" i="9"/>
  <c r="AC168" i="9" s="1"/>
  <c r="S169" i="9"/>
  <c r="AC169" i="9" s="1"/>
  <c r="S170" i="9"/>
  <c r="AC170" i="9" s="1"/>
  <c r="S171" i="9"/>
  <c r="AC171" i="9" s="1"/>
  <c r="S172" i="9"/>
  <c r="AC172" i="9" s="1"/>
  <c r="S173" i="9"/>
  <c r="AC173" i="9" s="1"/>
  <c r="S174" i="9"/>
  <c r="AC174" i="9" s="1"/>
  <c r="S175" i="9"/>
  <c r="AC175" i="9" s="1"/>
  <c r="S176" i="9"/>
  <c r="AC176" i="9" s="1"/>
  <c r="S177" i="9"/>
  <c r="AC177" i="9" s="1"/>
  <c r="S178" i="9"/>
  <c r="AC178" i="9" s="1"/>
  <c r="S179" i="9"/>
  <c r="AC179" i="9" s="1"/>
  <c r="S180" i="9"/>
  <c r="AC180" i="9" s="1"/>
  <c r="S181" i="9"/>
  <c r="AC181" i="9" s="1"/>
  <c r="S182" i="9"/>
  <c r="AC182" i="9" s="1"/>
  <c r="S183" i="9"/>
  <c r="AC183" i="9" s="1"/>
  <c r="S184" i="9"/>
  <c r="AC184" i="9" s="1"/>
  <c r="S185" i="9"/>
  <c r="AC185" i="9" s="1"/>
  <c r="S187" i="9"/>
  <c r="AC187" i="9" s="1"/>
  <c r="S188" i="9"/>
  <c r="AC188" i="9" s="1"/>
  <c r="S189" i="9"/>
  <c r="AC189" i="9" s="1"/>
  <c r="S190" i="9"/>
  <c r="AC190" i="9" s="1"/>
  <c r="S191" i="9"/>
  <c r="AC191" i="9" s="1"/>
  <c r="S192" i="9"/>
  <c r="AC192" i="9" s="1"/>
  <c r="S193" i="9"/>
  <c r="AC193" i="9" s="1"/>
  <c r="S194" i="9"/>
  <c r="AC194" i="9" s="1"/>
  <c r="S195" i="9"/>
  <c r="AC195" i="9" s="1"/>
  <c r="S196" i="9"/>
  <c r="AC196" i="9" s="1"/>
  <c r="S197" i="9"/>
  <c r="AC197" i="9" s="1"/>
  <c r="S198" i="9"/>
  <c r="AC198" i="9" s="1"/>
  <c r="S199" i="9"/>
  <c r="AC199" i="9" s="1"/>
  <c r="S201" i="9"/>
  <c r="AC201" i="9" s="1"/>
  <c r="S202" i="9"/>
  <c r="AC202" i="9" s="1"/>
  <c r="S203" i="9"/>
  <c r="AC203" i="9" s="1"/>
  <c r="S204" i="9"/>
  <c r="AC204" i="9" s="1"/>
  <c r="S205" i="9"/>
  <c r="AC205" i="9" s="1"/>
  <c r="S206" i="9"/>
  <c r="AC206" i="9" s="1"/>
  <c r="S207" i="9"/>
  <c r="AC207" i="9" s="1"/>
  <c r="S208" i="9"/>
  <c r="AC208" i="9" s="1"/>
  <c r="S209" i="9"/>
  <c r="AC209" i="9" s="1"/>
  <c r="S210" i="9"/>
  <c r="AC210" i="9" s="1"/>
  <c r="S211" i="9"/>
  <c r="AC211" i="9" s="1"/>
  <c r="S212" i="9"/>
  <c r="AC212" i="9" s="1"/>
  <c r="S213" i="9"/>
  <c r="AC213" i="9" s="1"/>
  <c r="S214" i="9"/>
  <c r="AC214" i="9" s="1"/>
  <c r="S215" i="9"/>
  <c r="AC215" i="9" s="1"/>
  <c r="S216" i="9"/>
  <c r="AC216" i="9" s="1"/>
  <c r="S217" i="9"/>
  <c r="AC217" i="9" s="1"/>
  <c r="S218" i="9"/>
  <c r="AC218" i="9" s="1"/>
  <c r="S219" i="9"/>
  <c r="AC219" i="9" s="1"/>
  <c r="S220" i="9"/>
  <c r="AC220" i="9" s="1"/>
  <c r="S221" i="9"/>
  <c r="AC221" i="9" s="1"/>
  <c r="S222" i="9"/>
  <c r="AC222" i="9" s="1"/>
  <c r="S223" i="9"/>
  <c r="AC223" i="9" s="1"/>
  <c r="S224" i="9"/>
  <c r="AC224" i="9" s="1"/>
  <c r="S225" i="9"/>
  <c r="AC225" i="9" s="1"/>
  <c r="S226" i="9"/>
  <c r="AC226" i="9" s="1"/>
  <c r="S227" i="9"/>
  <c r="AC227" i="9" s="1"/>
  <c r="S228" i="9"/>
  <c r="AC228" i="9" s="1"/>
  <c r="S229" i="9"/>
  <c r="AC229" i="9" s="1"/>
  <c r="S230" i="9"/>
  <c r="AC230" i="9" s="1"/>
  <c r="S231" i="9"/>
  <c r="AC231" i="9" s="1"/>
  <c r="S232" i="9"/>
  <c r="AC232" i="9" s="1"/>
  <c r="S233" i="9"/>
  <c r="AC233" i="9" s="1"/>
  <c r="S234" i="9"/>
  <c r="AC234" i="9" s="1"/>
  <c r="S235" i="9"/>
  <c r="AC235" i="9" s="1"/>
  <c r="S236" i="9"/>
  <c r="AC236" i="9" s="1"/>
  <c r="S237" i="9"/>
  <c r="AC237" i="9" s="1"/>
  <c r="S238" i="9"/>
  <c r="AC238" i="9" s="1"/>
  <c r="S239" i="9"/>
  <c r="AC239" i="9" s="1"/>
  <c r="S240" i="9"/>
  <c r="AC240" i="9" s="1"/>
  <c r="S241" i="9"/>
  <c r="AC241" i="9" s="1"/>
  <c r="S242" i="9"/>
  <c r="AC242" i="9" s="1"/>
  <c r="S243" i="9"/>
  <c r="AC243" i="9" s="1"/>
  <c r="S244" i="9"/>
  <c r="AC244" i="9" s="1"/>
  <c r="S303" i="9"/>
  <c r="AC303" i="9" s="1"/>
  <c r="S304" i="9"/>
  <c r="AC304" i="9" s="1"/>
  <c r="S306" i="9"/>
  <c r="AC306" i="9" s="1"/>
  <c r="S307" i="9"/>
  <c r="AC307" i="9" s="1"/>
  <c r="S308" i="9"/>
  <c r="AC308" i="9" s="1"/>
  <c r="S310" i="9"/>
  <c r="AC310" i="9" s="1"/>
  <c r="S311" i="9"/>
  <c r="AC311" i="9" s="1"/>
  <c r="S312" i="9"/>
  <c r="AC312" i="9" s="1"/>
  <c r="S314" i="9"/>
  <c r="AC314" i="9" s="1"/>
  <c r="S315" i="9"/>
  <c r="AC315" i="9" s="1"/>
  <c r="S316" i="9"/>
  <c r="AC316" i="9" s="1"/>
  <c r="S318" i="9"/>
  <c r="AC318" i="9" s="1"/>
  <c r="S319" i="9"/>
  <c r="AC319" i="9" s="1"/>
  <c r="S320" i="9"/>
  <c r="AC320" i="9" s="1"/>
  <c r="S322" i="9"/>
  <c r="AC322" i="9" s="1"/>
  <c r="S323" i="9"/>
  <c r="AC323" i="9" s="1"/>
  <c r="S324" i="9"/>
  <c r="AC324" i="9" s="1"/>
  <c r="S326" i="9"/>
  <c r="AC326" i="9" s="1"/>
  <c r="S327" i="9"/>
  <c r="AC327" i="9" s="1"/>
  <c r="S328" i="9"/>
  <c r="AC328" i="9" s="1"/>
  <c r="S330" i="9"/>
  <c r="AC330" i="9" s="1"/>
  <c r="S331" i="9"/>
  <c r="AC331" i="9" s="1"/>
  <c r="S332" i="9"/>
  <c r="AC332" i="9" s="1"/>
  <c r="S334" i="9"/>
  <c r="AC334" i="9" s="1"/>
  <c r="S335" i="9"/>
  <c r="AC335" i="9" s="1"/>
  <c r="S336" i="9"/>
  <c r="AC336" i="9" s="1"/>
  <c r="S348" i="9"/>
  <c r="AC348" i="9" s="1"/>
  <c r="S349" i="9"/>
  <c r="AC349" i="9" s="1"/>
  <c r="S350" i="9"/>
  <c r="AC350" i="9" s="1"/>
  <c r="S351" i="9"/>
  <c r="AC351" i="9" s="1"/>
  <c r="S352" i="9"/>
  <c r="AC352" i="9" s="1"/>
  <c r="S353" i="9"/>
  <c r="AC353" i="9" s="1"/>
  <c r="S354" i="9"/>
  <c r="AC354" i="9" s="1"/>
  <c r="S355" i="9"/>
  <c r="AC355" i="9" s="1"/>
  <c r="S356" i="9"/>
  <c r="AC356" i="9" s="1"/>
  <c r="S357" i="9"/>
  <c r="AC357" i="9" s="1"/>
  <c r="S358" i="9"/>
  <c r="AC358" i="9" s="1"/>
  <c r="S359" i="9"/>
  <c r="AC359" i="9" s="1"/>
  <c r="S360" i="9"/>
  <c r="AC360" i="9" s="1"/>
  <c r="S361" i="9"/>
  <c r="AC361" i="9" s="1"/>
  <c r="S366" i="9"/>
  <c r="AC366" i="9" s="1"/>
  <c r="S527" i="9"/>
  <c r="AC527" i="9" s="1"/>
  <c r="S528" i="9"/>
  <c r="AC528" i="9" s="1"/>
  <c r="S529" i="9"/>
  <c r="AC529" i="9" s="1"/>
  <c r="S530" i="9"/>
  <c r="AC530" i="9" s="1"/>
  <c r="S813" i="9"/>
  <c r="AC813" i="9" s="1"/>
  <c r="S815" i="9"/>
  <c r="AC815" i="9" s="1"/>
  <c r="S817" i="9"/>
  <c r="AC817" i="9" s="1"/>
  <c r="S966" i="9"/>
  <c r="AC966" i="9" s="1"/>
  <c r="AC1017" i="9" s="1"/>
  <c r="S967" i="9"/>
  <c r="AC967" i="9" s="1"/>
  <c r="S968" i="9"/>
  <c r="AC968" i="9" s="1"/>
  <c r="S969" i="9"/>
  <c r="AC969" i="9" s="1"/>
  <c r="S970" i="9"/>
  <c r="AC970" i="9" s="1"/>
  <c r="S971" i="9"/>
  <c r="AC971" i="9" s="1"/>
  <c r="S972" i="9"/>
  <c r="AC972" i="9" s="1"/>
  <c r="S973" i="9"/>
  <c r="AC973" i="9" s="1"/>
  <c r="S974" i="9"/>
  <c r="AC974" i="9" s="1"/>
  <c r="S975" i="9"/>
  <c r="AC975" i="9" s="1"/>
  <c r="S976" i="9"/>
  <c r="AC976" i="9" s="1"/>
  <c r="S977" i="9"/>
  <c r="AC977" i="9" s="1"/>
  <c r="S978" i="9"/>
  <c r="AC978" i="9" s="1"/>
  <c r="S979" i="9"/>
  <c r="AC979" i="9" s="1"/>
  <c r="S980" i="9"/>
  <c r="AC980" i="9" s="1"/>
  <c r="S981" i="9"/>
  <c r="AC981" i="9" s="1"/>
  <c r="E9" i="7"/>
  <c r="S1202" i="9"/>
  <c r="AC1202" i="9" s="1"/>
  <c r="AB1085" i="9"/>
  <c r="Z1168" i="9"/>
  <c r="AB966" i="9"/>
  <c r="AB1104" i="9"/>
  <c r="AB1185" i="9"/>
  <c r="AB1191" i="9"/>
  <c r="AB1192" i="9"/>
  <c r="AB1193" i="9"/>
  <c r="AB1089" i="9"/>
  <c r="S1104" i="9"/>
  <c r="AC1104" i="9" s="1"/>
  <c r="AB1204" i="9"/>
  <c r="AB1205" i="9"/>
  <c r="S1085" i="9"/>
  <c r="AC1085" i="9" s="1"/>
  <c r="AB1086" i="9"/>
  <c r="AB1087" i="9"/>
  <c r="S1089" i="9"/>
  <c r="AC1089" i="9" s="1"/>
  <c r="AB1095" i="9"/>
  <c r="AB969" i="9"/>
  <c r="AB1099" i="9"/>
  <c r="AB1101" i="9"/>
  <c r="S1095" i="9"/>
  <c r="AC1095" i="9" s="1"/>
  <c r="AB1096" i="9"/>
  <c r="AB1097" i="9"/>
  <c r="AB1098" i="9"/>
  <c r="AB1290" i="9"/>
  <c r="X1296" i="9"/>
  <c r="Y1296" i="9"/>
  <c r="D1296" i="9"/>
  <c r="S1290" i="9"/>
  <c r="AB761" i="9"/>
  <c r="AA761" i="9" s="1"/>
  <c r="AB763" i="9"/>
  <c r="AA763" i="9" s="1"/>
  <c r="AB765" i="9"/>
  <c r="AA765" i="9" s="1"/>
  <c r="AB769" i="9"/>
  <c r="AA769" i="9" s="1"/>
  <c r="AB777" i="9"/>
  <c r="AA777" i="9" s="1"/>
  <c r="AB791" i="9"/>
  <c r="AA791" i="9" s="1"/>
  <c r="AB793" i="9"/>
  <c r="AA793" i="9" s="1"/>
  <c r="AB795" i="9"/>
  <c r="AA795" i="9" s="1"/>
  <c r="AB797" i="9"/>
  <c r="AA797" i="9" s="1"/>
  <c r="AB799" i="9"/>
  <c r="AA799" i="9" s="1"/>
  <c r="AB801" i="9"/>
  <c r="AA801" i="9" s="1"/>
  <c r="AB803" i="9"/>
  <c r="AA803" i="9" s="1"/>
  <c r="AB809" i="9"/>
  <c r="AA809" i="9" s="1"/>
  <c r="AB811" i="9"/>
  <c r="AA811" i="9" s="1"/>
  <c r="AB528" i="9"/>
  <c r="S1102" i="9"/>
  <c r="AC1102" i="9" s="1"/>
  <c r="S634" i="9"/>
  <c r="AC634" i="9" s="1"/>
  <c r="AB1197" i="9"/>
  <c r="AB971" i="9"/>
  <c r="AB972" i="9"/>
  <c r="AB1090" i="9"/>
  <c r="S635" i="9"/>
  <c r="AC635" i="9" s="1"/>
  <c r="AB1093" i="9"/>
  <c r="AB1094" i="9"/>
  <c r="S1099" i="9"/>
  <c r="AC1099" i="9" s="1"/>
  <c r="AB978" i="9"/>
  <c r="AB979" i="9"/>
  <c r="AB980" i="9"/>
  <c r="S1211" i="9"/>
  <c r="AC1211" i="9" s="1"/>
  <c r="AB1212" i="9"/>
  <c r="AB934" i="9"/>
  <c r="AA934" i="9" s="1"/>
  <c r="AB968" i="9"/>
  <c r="AB1083" i="9"/>
  <c r="AB1084" i="9"/>
  <c r="S1087" i="9"/>
  <c r="AC1087" i="9" s="1"/>
  <c r="AB1088" i="9"/>
  <c r="AB1195" i="9"/>
  <c r="S1090" i="9"/>
  <c r="AC1090" i="9" s="1"/>
  <c r="AB1091" i="9"/>
  <c r="S1093" i="9"/>
  <c r="AC1093" i="9" s="1"/>
  <c r="S1097" i="9"/>
  <c r="AC1097" i="9" s="1"/>
  <c r="AB977" i="9"/>
  <c r="AB1105" i="9"/>
  <c r="S1212" i="9"/>
  <c r="AC1212" i="9" s="1"/>
  <c r="AA1018" i="9"/>
  <c r="AB869" i="9"/>
  <c r="AB867" i="9"/>
  <c r="AB865" i="9"/>
  <c r="AB863" i="9"/>
  <c r="AB861" i="9"/>
  <c r="AB859" i="9"/>
  <c r="AB857" i="9"/>
  <c r="U661" i="9"/>
  <c r="U659" i="9"/>
  <c r="U657" i="9"/>
  <c r="AA655" i="9"/>
  <c r="U653" i="9"/>
  <c r="U651" i="9"/>
  <c r="U649" i="9"/>
  <c r="U647" i="9"/>
  <c r="U645" i="9"/>
  <c r="U643" i="9"/>
  <c r="U641" i="9"/>
  <c r="U639" i="9"/>
  <c r="U637" i="9"/>
  <c r="N637" i="9" s="1"/>
  <c r="S637" i="9" s="1"/>
  <c r="AC637" i="9" s="1"/>
  <c r="T574" i="9"/>
  <c r="Z574" i="9"/>
  <c r="T572" i="9"/>
  <c r="Z572" i="9"/>
  <c r="T570" i="9"/>
  <c r="Z570" i="9"/>
  <c r="T568" i="9"/>
  <c r="Z568" i="9"/>
  <c r="T566" i="9"/>
  <c r="Z566" i="9"/>
  <c r="T564" i="9"/>
  <c r="Z564" i="9"/>
  <c r="T562" i="9"/>
  <c r="Z562" i="9"/>
  <c r="T560" i="9"/>
  <c r="Z560" i="9"/>
  <c r="T558" i="9"/>
  <c r="Z558" i="9"/>
  <c r="T556" i="9"/>
  <c r="Z556" i="9"/>
  <c r="T554" i="9"/>
  <c r="Z554" i="9"/>
  <c r="T552" i="9"/>
  <c r="Z552" i="9"/>
  <c r="T550" i="9"/>
  <c r="Z550" i="9"/>
  <c r="N546" i="9"/>
  <c r="S546" i="9" s="1"/>
  <c r="AC546" i="9" s="1"/>
  <c r="Z546" i="9"/>
  <c r="N538" i="9"/>
  <c r="S538" i="9" s="1"/>
  <c r="AC538" i="9" s="1"/>
  <c r="Z538" i="9"/>
  <c r="T445" i="9"/>
  <c r="Z445" i="9"/>
  <c r="T443" i="9"/>
  <c r="Z443" i="9"/>
  <c r="T441" i="9"/>
  <c r="Z441" i="9"/>
  <c r="T439" i="9"/>
  <c r="Z439" i="9"/>
  <c r="T437" i="9"/>
  <c r="Z437" i="9"/>
  <c r="T435" i="9"/>
  <c r="Z435" i="9"/>
  <c r="T433" i="9"/>
  <c r="Z433" i="9"/>
  <c r="T410" i="9"/>
  <c r="N410" i="9" s="1"/>
  <c r="S410" i="9" s="1"/>
  <c r="AC410" i="9" s="1"/>
  <c r="Z410" i="9"/>
  <c r="N407" i="9"/>
  <c r="S407" i="9" s="1"/>
  <c r="AC407" i="9" s="1"/>
  <c r="Z407" i="9"/>
  <c r="N403" i="9"/>
  <c r="S403" i="9" s="1"/>
  <c r="AC403" i="9" s="1"/>
  <c r="Z403" i="9"/>
  <c r="N399" i="9"/>
  <c r="S399" i="9" s="1"/>
  <c r="AC399" i="9" s="1"/>
  <c r="Z399" i="9"/>
  <c r="N395" i="9"/>
  <c r="S395" i="9" s="1"/>
  <c r="AC395" i="9" s="1"/>
  <c r="Z395" i="9"/>
  <c r="N391" i="9"/>
  <c r="S391" i="9" s="1"/>
  <c r="AC391" i="9" s="1"/>
  <c r="Z391" i="9"/>
  <c r="N387" i="9"/>
  <c r="S387" i="9" s="1"/>
  <c r="AC387" i="9" s="1"/>
  <c r="Z387" i="9"/>
  <c r="N383" i="9"/>
  <c r="S383" i="9" s="1"/>
  <c r="AC383" i="9" s="1"/>
  <c r="Z383" i="9"/>
  <c r="N379" i="9"/>
  <c r="S379" i="9" s="1"/>
  <c r="AC379" i="9" s="1"/>
  <c r="Z379" i="9"/>
  <c r="N376" i="9"/>
  <c r="S376" i="9" s="1"/>
  <c r="AC376" i="9" s="1"/>
  <c r="Z376" i="9"/>
  <c r="N374" i="9"/>
  <c r="S374" i="9" s="1"/>
  <c r="AC374" i="9" s="1"/>
  <c r="Z374" i="9"/>
  <c r="N372" i="9"/>
  <c r="S372" i="9" s="1"/>
  <c r="AC372" i="9" s="1"/>
  <c r="Z372" i="9"/>
  <c r="N370" i="9"/>
  <c r="S370" i="9" s="1"/>
  <c r="AC370" i="9" s="1"/>
  <c r="Z370" i="9"/>
  <c r="N368" i="9"/>
  <c r="S368" i="9" s="1"/>
  <c r="AC368" i="9" s="1"/>
  <c r="Z368" i="9"/>
  <c r="AB367" i="9"/>
  <c r="T301" i="9"/>
  <c r="Z301" i="9"/>
  <c r="T299" i="9"/>
  <c r="Z299" i="9"/>
  <c r="T297" i="9"/>
  <c r="Z297" i="9"/>
  <c r="T295" i="9"/>
  <c r="Z295" i="9"/>
  <c r="T293" i="9"/>
  <c r="Z293" i="9"/>
  <c r="N265" i="9"/>
  <c r="S265" i="9" s="1"/>
  <c r="AC265" i="9" s="1"/>
  <c r="Z265" i="9"/>
  <c r="N257" i="9"/>
  <c r="S257" i="9" s="1"/>
  <c r="AC257" i="9" s="1"/>
  <c r="Z257" i="9"/>
  <c r="N249" i="9"/>
  <c r="S249" i="9" s="1"/>
  <c r="AC249" i="9" s="1"/>
  <c r="Z249" i="9"/>
  <c r="U186" i="9"/>
  <c r="N186" i="9" s="1"/>
  <c r="U138" i="9"/>
  <c r="N90" i="9"/>
  <c r="R137" i="9"/>
  <c r="T41" i="9"/>
  <c r="R41" i="9"/>
  <c r="T32" i="9"/>
  <c r="R32" i="9"/>
  <c r="M904" i="9"/>
  <c r="M906" i="9"/>
  <c r="M908" i="9"/>
  <c r="M909" i="9"/>
  <c r="M911" i="9"/>
  <c r="M1028" i="9"/>
  <c r="M1030" i="9"/>
  <c r="M913" i="9"/>
  <c r="M1031" i="9"/>
  <c r="M1033" i="9"/>
  <c r="AB576" i="9"/>
  <c r="AB578" i="9"/>
  <c r="AB580" i="9"/>
  <c r="AB582" i="9"/>
  <c r="AB584" i="9"/>
  <c r="AB586" i="9"/>
  <c r="AB588" i="9"/>
  <c r="AB590" i="9"/>
  <c r="AB592" i="9"/>
  <c r="AB594" i="9"/>
  <c r="AB596" i="9"/>
  <c r="AB598" i="9"/>
  <c r="N246" i="9"/>
  <c r="S246" i="9" s="1"/>
  <c r="AC246" i="9" s="1"/>
  <c r="Z246" i="9"/>
  <c r="N248" i="9"/>
  <c r="S248" i="9" s="1"/>
  <c r="AC248" i="9" s="1"/>
  <c r="Z248" i="9"/>
  <c r="N250" i="9"/>
  <c r="S250" i="9" s="1"/>
  <c r="AC250" i="9" s="1"/>
  <c r="Z250" i="9"/>
  <c r="N252" i="9"/>
  <c r="S252" i="9" s="1"/>
  <c r="AC252" i="9" s="1"/>
  <c r="Z252" i="9"/>
  <c r="N254" i="9"/>
  <c r="S254" i="9" s="1"/>
  <c r="AC254" i="9" s="1"/>
  <c r="Z254" i="9"/>
  <c r="N256" i="9"/>
  <c r="S256" i="9" s="1"/>
  <c r="AC256" i="9" s="1"/>
  <c r="Z256" i="9"/>
  <c r="N258" i="9"/>
  <c r="S258" i="9" s="1"/>
  <c r="AC258" i="9" s="1"/>
  <c r="Z258" i="9"/>
  <c r="N260" i="9"/>
  <c r="S260" i="9" s="1"/>
  <c r="AC260" i="9" s="1"/>
  <c r="Z260" i="9"/>
  <c r="N262" i="9"/>
  <c r="S262" i="9" s="1"/>
  <c r="AC262" i="9" s="1"/>
  <c r="Z262" i="9"/>
  <c r="N264" i="9"/>
  <c r="S264" i="9" s="1"/>
  <c r="AC264" i="9" s="1"/>
  <c r="Z264" i="9"/>
  <c r="N266" i="9"/>
  <c r="S266" i="9" s="1"/>
  <c r="AC266" i="9" s="1"/>
  <c r="Z266" i="9"/>
  <c r="N268" i="9"/>
  <c r="S268" i="9" s="1"/>
  <c r="AC268" i="9" s="1"/>
  <c r="Z268" i="9"/>
  <c r="U365" i="9"/>
  <c r="N537" i="9"/>
  <c r="S537" i="9" s="1"/>
  <c r="AC537" i="9" s="1"/>
  <c r="Z537" i="9"/>
  <c r="N539" i="9"/>
  <c r="S539" i="9" s="1"/>
  <c r="AC539" i="9" s="1"/>
  <c r="Z539" i="9"/>
  <c r="N541" i="9"/>
  <c r="S541" i="9" s="1"/>
  <c r="AC541" i="9" s="1"/>
  <c r="Z541" i="9"/>
  <c r="N543" i="9"/>
  <c r="S543" i="9" s="1"/>
  <c r="AC543" i="9" s="1"/>
  <c r="Z543" i="9"/>
  <c r="N545" i="9"/>
  <c r="S545" i="9" s="1"/>
  <c r="AC545" i="9" s="1"/>
  <c r="Z545" i="9"/>
  <c r="N547" i="9"/>
  <c r="S547" i="9" s="1"/>
  <c r="AC547" i="9" s="1"/>
  <c r="Z547" i="9"/>
  <c r="AB663" i="9"/>
  <c r="Z663" i="9"/>
  <c r="AB665" i="9"/>
  <c r="Z665" i="9"/>
  <c r="AB667" i="9"/>
  <c r="Z667" i="9"/>
  <c r="AB669" i="9"/>
  <c r="Z669" i="9"/>
  <c r="AB671" i="9"/>
  <c r="Z671" i="9"/>
  <c r="AB673" i="9"/>
  <c r="Z673" i="9"/>
  <c r="AB675" i="9"/>
  <c r="Z675" i="9"/>
  <c r="AB677" i="9"/>
  <c r="Z677" i="9"/>
  <c r="AB679" i="9"/>
  <c r="Z679" i="9"/>
  <c r="AB681" i="9"/>
  <c r="Z681" i="9"/>
  <c r="AB683" i="9"/>
  <c r="Z683" i="9"/>
  <c r="AB685" i="9"/>
  <c r="Z685" i="9"/>
  <c r="AB687" i="9"/>
  <c r="Z687" i="9"/>
  <c r="AB689" i="9"/>
  <c r="Z689" i="9"/>
  <c r="AB691" i="9"/>
  <c r="Z691" i="9"/>
  <c r="AB693" i="9"/>
  <c r="Z693" i="9"/>
  <c r="AB695" i="9"/>
  <c r="Z695" i="9"/>
  <c r="AB697" i="9"/>
  <c r="Z697" i="9"/>
  <c r="AB916" i="9"/>
  <c r="AA916" i="9" s="1"/>
  <c r="AB917" i="9"/>
  <c r="AA917" i="9" s="1"/>
  <c r="AB505" i="9"/>
  <c r="AA505" i="9" s="1"/>
  <c r="AB1034" i="9"/>
  <c r="AA1034" i="9" s="1"/>
  <c r="AB507" i="9"/>
  <c r="AA507" i="9" s="1"/>
  <c r="AB1170" i="9"/>
  <c r="AA1170" i="9" s="1"/>
  <c r="S1170" i="9"/>
  <c r="AC1170" i="9" s="1"/>
  <c r="AC1282" i="9" s="1"/>
  <c r="AB509" i="9"/>
  <c r="AA509" i="9" s="1"/>
  <c r="AB621" i="9"/>
  <c r="AA621" i="9" s="1"/>
  <c r="S621" i="9"/>
  <c r="AC621" i="9" s="1"/>
  <c r="AB920" i="9"/>
  <c r="AA920" i="9" s="1"/>
  <c r="AB922" i="9"/>
  <c r="AA922" i="9" s="1"/>
  <c r="AB1036" i="9"/>
  <c r="AA1036" i="9" s="1"/>
  <c r="S1036" i="9"/>
  <c r="AC1036" i="9" s="1"/>
  <c r="AB512" i="9"/>
  <c r="AA512" i="9" s="1"/>
  <c r="AB622" i="9"/>
  <c r="AA622" i="9" s="1"/>
  <c r="S622" i="9"/>
  <c r="AC622" i="9" s="1"/>
  <c r="AB624" i="9"/>
  <c r="AA624" i="9" s="1"/>
  <c r="S624" i="9"/>
  <c r="AC624" i="9" s="1"/>
  <c r="AB626" i="9"/>
  <c r="AA626" i="9" s="1"/>
  <c r="S626" i="9"/>
  <c r="AC626" i="9" s="1"/>
  <c r="AB924" i="9"/>
  <c r="AA924" i="9" s="1"/>
  <c r="AB1038" i="9"/>
  <c r="AA1038" i="9" s="1"/>
  <c r="S1038" i="9"/>
  <c r="AC1038" i="9" s="1"/>
  <c r="AB928" i="9"/>
  <c r="AA928" i="9" s="1"/>
  <c r="AB930" i="9"/>
  <c r="AA930" i="9" s="1"/>
  <c r="AB1040" i="9"/>
  <c r="AA1040" i="9" s="1"/>
  <c r="S1040" i="9"/>
  <c r="AC1040" i="9" s="1"/>
  <c r="AB1042" i="9"/>
  <c r="AA1042" i="9" s="1"/>
  <c r="S1042" i="9"/>
  <c r="AC1042" i="9" s="1"/>
  <c r="AB1172" i="9"/>
  <c r="AA1172" i="9" s="1"/>
  <c r="S1172" i="9"/>
  <c r="AC1172" i="9" s="1"/>
  <c r="AB515" i="9"/>
  <c r="AA515" i="9" s="1"/>
  <c r="AB932" i="9"/>
  <c r="AA932" i="9" s="1"/>
  <c r="AB1047" i="9"/>
  <c r="AA1047" i="9" s="1"/>
  <c r="S1047" i="9"/>
  <c r="AC1047" i="9" s="1"/>
  <c r="AB938" i="9"/>
  <c r="AA938" i="9" s="1"/>
  <c r="AB1174" i="9"/>
  <c r="S1174" i="9"/>
  <c r="AC1174" i="9" s="1"/>
  <c r="AB517" i="9"/>
  <c r="AA517" i="9" s="1"/>
  <c r="AB519" i="9"/>
  <c r="AA519" i="9" s="1"/>
  <c r="AB940" i="9"/>
  <c r="AA940" i="9" s="1"/>
  <c r="AB942" i="9"/>
  <c r="AA942" i="9" s="1"/>
  <c r="AB1177" i="9"/>
  <c r="AA1177" i="9" s="1"/>
  <c r="S1177" i="9"/>
  <c r="AC1177" i="9" s="1"/>
  <c r="AB943" i="9"/>
  <c r="AA943" i="9" s="1"/>
  <c r="AB1054" i="9"/>
  <c r="AA1054" i="9" s="1"/>
  <c r="S1054" i="9"/>
  <c r="AC1054" i="9" s="1"/>
  <c r="AB628" i="9"/>
  <c r="AA628" i="9" s="1"/>
  <c r="S628" i="9"/>
  <c r="AC628" i="9" s="1"/>
  <c r="AB945" i="9"/>
  <c r="AA945" i="9" s="1"/>
  <c r="AB1055" i="9"/>
  <c r="AA1055" i="9" s="1"/>
  <c r="S1055" i="9"/>
  <c r="AC1055" i="9" s="1"/>
  <c r="AB1180" i="9"/>
  <c r="AA1180" i="9" s="1"/>
  <c r="S1180" i="9"/>
  <c r="AC1180" i="9" s="1"/>
  <c r="AB948" i="9"/>
  <c r="AA948" i="9" s="1"/>
  <c r="AB1057" i="9"/>
  <c r="AA1057" i="9" s="1"/>
  <c r="S1057" i="9"/>
  <c r="AC1057" i="9" s="1"/>
  <c r="AB1059" i="9"/>
  <c r="AA1059" i="9" s="1"/>
  <c r="S1059" i="9"/>
  <c r="AC1059" i="9" s="1"/>
  <c r="AB523" i="9"/>
  <c r="AA523" i="9" s="1"/>
  <c r="AB951" i="9"/>
  <c r="AA951" i="9" s="1"/>
  <c r="AB1060" i="9"/>
  <c r="AA1060" i="9" s="1"/>
  <c r="S1060" i="9"/>
  <c r="AC1060" i="9" s="1"/>
  <c r="AB1062" i="9"/>
  <c r="AA1062" i="9" s="1"/>
  <c r="S1062" i="9"/>
  <c r="AC1062" i="9" s="1"/>
  <c r="AB1064" i="9"/>
  <c r="AA1064" i="9" s="1"/>
  <c r="S1064" i="9"/>
  <c r="AC1064" i="9" s="1"/>
  <c r="AB1181" i="9"/>
  <c r="AA1181" i="9" s="1"/>
  <c r="S1181" i="9"/>
  <c r="AC1181" i="9" s="1"/>
  <c r="AB1066" i="9"/>
  <c r="AA1066" i="9" s="1"/>
  <c r="S1066" i="9"/>
  <c r="AC1066" i="9" s="1"/>
  <c r="AB953" i="9"/>
  <c r="AA953" i="9" s="1"/>
  <c r="AB524" i="9"/>
  <c r="AA524" i="9" s="1"/>
  <c r="AB1068" i="9"/>
  <c r="AA1068" i="9" s="1"/>
  <c r="S1068" i="9"/>
  <c r="AC1068" i="9" s="1"/>
  <c r="AB1183" i="9"/>
  <c r="AA1183" i="9" s="1"/>
  <c r="S1183" i="9"/>
  <c r="AC1183" i="9" s="1"/>
  <c r="AB956" i="9"/>
  <c r="AA956" i="9" s="1"/>
  <c r="AB958" i="9"/>
  <c r="AA958" i="9" s="1"/>
  <c r="AB1070" i="9"/>
  <c r="AA1070" i="9" s="1"/>
  <c r="S1070" i="9"/>
  <c r="AC1070" i="9" s="1"/>
  <c r="AB1072" i="9"/>
  <c r="AA1072" i="9" s="1"/>
  <c r="S1072" i="9"/>
  <c r="AC1072" i="9" s="1"/>
  <c r="AB959" i="9"/>
  <c r="AA959" i="9" s="1"/>
  <c r="AB1184" i="9"/>
  <c r="AA1184" i="9" s="1"/>
  <c r="S1184" i="9"/>
  <c r="AC1184" i="9" s="1"/>
  <c r="AB960" i="9"/>
  <c r="AA960" i="9" s="1"/>
  <c r="AB962" i="9"/>
  <c r="AA962" i="9" s="1"/>
  <c r="AB633" i="9"/>
  <c r="AA633" i="9" s="1"/>
  <c r="S633" i="9"/>
  <c r="AC633" i="9" s="1"/>
  <c r="AB1077" i="9"/>
  <c r="AA1077" i="9" s="1"/>
  <c r="S1077" i="9"/>
  <c r="AC1077" i="9" s="1"/>
  <c r="AB1079" i="9"/>
  <c r="AA1079" i="9" s="1"/>
  <c r="S1079" i="9"/>
  <c r="AC1079" i="9" s="1"/>
  <c r="AB1081" i="9"/>
  <c r="AA1081" i="9" s="1"/>
  <c r="S1081" i="9"/>
  <c r="AC1081" i="9" s="1"/>
  <c r="U41" i="9"/>
  <c r="AA22" i="9"/>
  <c r="V22" i="9"/>
  <c r="Q9" i="9"/>
  <c r="Q1296" i="9" s="1"/>
  <c r="W9" i="9"/>
  <c r="S13" i="9"/>
  <c r="AC13" i="9" s="1"/>
  <c r="S15" i="9"/>
  <c r="AC15" i="9" s="1"/>
  <c r="Z17" i="9"/>
  <c r="Z19" i="9"/>
  <c r="Z21" i="9"/>
  <c r="S25" i="9"/>
  <c r="AC25" i="9" s="1"/>
  <c r="Z27" i="9"/>
  <c r="S34" i="9"/>
  <c r="AC34" i="9" s="1"/>
  <c r="Z36" i="9"/>
  <c r="Z38" i="9"/>
  <c r="S44" i="9"/>
  <c r="S46" i="9"/>
  <c r="S48" i="9"/>
  <c r="Z50" i="9"/>
  <c r="Z52" i="9"/>
  <c r="Z54" i="9"/>
  <c r="Z57" i="9"/>
  <c r="Z59" i="9"/>
  <c r="Z61" i="9"/>
  <c r="Z63" i="9"/>
  <c r="Z65" i="9"/>
  <c r="Z67" i="9"/>
  <c r="Z69" i="9"/>
  <c r="S91" i="9"/>
  <c r="AC91" i="9" s="1"/>
  <c r="S93" i="9"/>
  <c r="AC93" i="9" s="1"/>
  <c r="S95" i="9"/>
  <c r="AC95" i="9" s="1"/>
  <c r="S97" i="9"/>
  <c r="AC97" i="9" s="1"/>
  <c r="S135" i="9"/>
  <c r="AC135" i="9" s="1"/>
  <c r="Z99" i="9"/>
  <c r="Z101" i="9"/>
  <c r="Z103" i="9"/>
  <c r="Z106" i="9"/>
  <c r="Z108" i="9"/>
  <c r="Z110" i="9"/>
  <c r="Z112" i="9"/>
  <c r="Z114" i="9"/>
  <c r="Z116" i="9"/>
  <c r="Z118" i="9"/>
  <c r="Z122" i="9"/>
  <c r="S139" i="9"/>
  <c r="S141" i="9"/>
  <c r="S143" i="9"/>
  <c r="S145" i="9"/>
  <c r="S147" i="9"/>
  <c r="S149" i="9"/>
  <c r="S151" i="9"/>
  <c r="S153" i="9"/>
  <c r="Z154" i="9"/>
  <c r="Z156" i="9"/>
  <c r="Z158" i="9"/>
  <c r="Z160" i="9"/>
  <c r="Z162" i="9"/>
  <c r="Z164" i="9"/>
  <c r="Z166" i="9"/>
  <c r="Z168" i="9"/>
  <c r="Z170" i="9"/>
  <c r="Z172" i="9"/>
  <c r="Z175" i="9"/>
  <c r="Z177" i="9"/>
  <c r="Z179" i="9"/>
  <c r="Z181" i="9"/>
  <c r="Z183" i="9"/>
  <c r="Z185" i="9"/>
  <c r="Z189" i="9"/>
  <c r="Z193" i="9"/>
  <c r="Z195" i="9"/>
  <c r="Z197" i="9"/>
  <c r="Z199" i="9"/>
  <c r="Z201" i="9"/>
  <c r="Z203" i="9"/>
  <c r="Z205" i="9"/>
  <c r="Z207" i="9"/>
  <c r="Z209" i="9"/>
  <c r="Z211" i="9"/>
  <c r="Z213" i="9"/>
  <c r="Z215" i="9"/>
  <c r="Z217" i="9"/>
  <c r="Z219" i="9"/>
  <c r="Z221" i="9"/>
  <c r="Z223" i="9"/>
  <c r="Z225" i="9"/>
  <c r="Z227" i="9"/>
  <c r="Z229" i="9"/>
  <c r="Z231" i="9"/>
  <c r="Z233" i="9"/>
  <c r="Z235" i="9"/>
  <c r="Z237" i="9"/>
  <c r="Z239" i="9"/>
  <c r="Z241" i="9"/>
  <c r="Z243" i="9"/>
  <c r="AB870" i="9"/>
  <c r="AB868" i="9"/>
  <c r="AB866" i="9"/>
  <c r="AB864" i="9"/>
  <c r="AB862" i="9"/>
  <c r="AB860" i="9"/>
  <c r="AB858" i="9"/>
  <c r="AB856" i="9"/>
  <c r="N1017" i="9"/>
  <c r="U662" i="9"/>
  <c r="U660" i="9"/>
  <c r="U658" i="9"/>
  <c r="U656" i="9"/>
  <c r="U654" i="9"/>
  <c r="U652" i="9"/>
  <c r="U650" i="9"/>
  <c r="U648" i="9"/>
  <c r="T573" i="9"/>
  <c r="Z573" i="9"/>
  <c r="T571" i="9"/>
  <c r="Z571" i="9"/>
  <c r="T569" i="9"/>
  <c r="Z569" i="9"/>
  <c r="T567" i="9"/>
  <c r="Z567" i="9"/>
  <c r="T548" i="9"/>
  <c r="N548" i="9" s="1"/>
  <c r="S548" i="9" s="1"/>
  <c r="AC548" i="9" s="1"/>
  <c r="Z548" i="9"/>
  <c r="N542" i="9"/>
  <c r="S542" i="9" s="1"/>
  <c r="AC542" i="9" s="1"/>
  <c r="Z542" i="9"/>
  <c r="T444" i="9"/>
  <c r="Z444" i="9"/>
  <c r="T442" i="9"/>
  <c r="Z442" i="9"/>
  <c r="T440" i="9"/>
  <c r="Z440" i="9"/>
  <c r="T438" i="9"/>
  <c r="Z438" i="9"/>
  <c r="T436" i="9"/>
  <c r="Z436" i="9"/>
  <c r="T434" i="9"/>
  <c r="Z434" i="9"/>
  <c r="T411" i="9"/>
  <c r="N411" i="9" s="1"/>
  <c r="S411" i="9" s="1"/>
  <c r="AC411" i="9" s="1"/>
  <c r="Z411" i="9"/>
  <c r="T409" i="9"/>
  <c r="N409" i="9" s="1"/>
  <c r="S409" i="9" s="1"/>
  <c r="AC409" i="9" s="1"/>
  <c r="Z409" i="9"/>
  <c r="N405" i="9"/>
  <c r="S405" i="9" s="1"/>
  <c r="AC405" i="9" s="1"/>
  <c r="Z405" i="9"/>
  <c r="N401" i="9"/>
  <c r="S401" i="9" s="1"/>
  <c r="AC401" i="9" s="1"/>
  <c r="Z401" i="9"/>
  <c r="N397" i="9"/>
  <c r="S397" i="9" s="1"/>
  <c r="AC397" i="9" s="1"/>
  <c r="Z397" i="9"/>
  <c r="N393" i="9"/>
  <c r="S393" i="9" s="1"/>
  <c r="AC393" i="9" s="1"/>
  <c r="Z393" i="9"/>
  <c r="N389" i="9"/>
  <c r="S389" i="9" s="1"/>
  <c r="AC389" i="9" s="1"/>
  <c r="Z389" i="9"/>
  <c r="N385" i="9"/>
  <c r="S385" i="9" s="1"/>
  <c r="AC385" i="9" s="1"/>
  <c r="Z385" i="9"/>
  <c r="N381" i="9"/>
  <c r="S381" i="9" s="1"/>
  <c r="AC381" i="9" s="1"/>
  <c r="Z381" i="9"/>
  <c r="N377" i="9"/>
  <c r="S377" i="9" s="1"/>
  <c r="AC377" i="9" s="1"/>
  <c r="Z377" i="9"/>
  <c r="N375" i="9"/>
  <c r="S375" i="9" s="1"/>
  <c r="AC375" i="9" s="1"/>
  <c r="Z375" i="9"/>
  <c r="N373" i="9"/>
  <c r="S373" i="9" s="1"/>
  <c r="AC373" i="9" s="1"/>
  <c r="Z373" i="9"/>
  <c r="AB371" i="9"/>
  <c r="N369" i="9"/>
  <c r="S369" i="9" s="1"/>
  <c r="AC369" i="9" s="1"/>
  <c r="Z369" i="9"/>
  <c r="T302" i="9"/>
  <c r="Z302" i="9"/>
  <c r="T300" i="9"/>
  <c r="Z300" i="9"/>
  <c r="T298" i="9"/>
  <c r="Z298" i="9"/>
  <c r="T296" i="9"/>
  <c r="Z296" i="9"/>
  <c r="T294" i="9"/>
  <c r="Z294" i="9"/>
  <c r="T292" i="9"/>
  <c r="Z292" i="9"/>
  <c r="T290" i="9"/>
  <c r="Z290" i="9"/>
  <c r="T288" i="9"/>
  <c r="Z288" i="9"/>
  <c r="T286" i="9"/>
  <c r="Z286" i="9"/>
  <c r="T284" i="9"/>
  <c r="Z284" i="9"/>
  <c r="T282" i="9"/>
  <c r="Z282" i="9"/>
  <c r="T280" i="9"/>
  <c r="Z280" i="9"/>
  <c r="T278" i="9"/>
  <c r="Z278" i="9"/>
  <c r="T276" i="9"/>
  <c r="Z276" i="9"/>
  <c r="T274" i="9"/>
  <c r="Z274" i="9"/>
  <c r="T272" i="9"/>
  <c r="Z272" i="9"/>
  <c r="N269" i="9"/>
  <c r="S269" i="9" s="1"/>
  <c r="AC269" i="9" s="1"/>
  <c r="Z269" i="9"/>
  <c r="N261" i="9"/>
  <c r="S261" i="9" s="1"/>
  <c r="AC261" i="9" s="1"/>
  <c r="Z261" i="9"/>
  <c r="N253" i="9"/>
  <c r="S253" i="9" s="1"/>
  <c r="AC253" i="9" s="1"/>
  <c r="Z253" i="9"/>
  <c r="N245" i="9"/>
  <c r="S245" i="9" s="1"/>
  <c r="AC245" i="9" s="1"/>
  <c r="Z245" i="9"/>
  <c r="U119" i="9"/>
  <c r="M137" i="9"/>
  <c r="N42" i="9"/>
  <c r="R89" i="9"/>
  <c r="N23" i="9"/>
  <c r="U32" i="9"/>
  <c r="N10" i="9"/>
  <c r="U22" i="9"/>
  <c r="R22" i="9"/>
  <c r="N5" i="9"/>
  <c r="S5" i="9" s="1"/>
  <c r="AC5" i="9" s="1"/>
  <c r="M903" i="9"/>
  <c r="M905" i="9"/>
  <c r="M907" i="9"/>
  <c r="M910" i="9"/>
  <c r="N1168" i="9"/>
  <c r="M1029" i="9"/>
  <c r="AB1075" i="9"/>
  <c r="AA1075" i="9" s="1"/>
  <c r="S1075" i="9"/>
  <c r="AC1075" i="9" s="1"/>
  <c r="M912" i="9"/>
  <c r="M914" i="9"/>
  <c r="M1032" i="9"/>
  <c r="AB575" i="9"/>
  <c r="AB579" i="9"/>
  <c r="AB583" i="9"/>
  <c r="AB587" i="9"/>
  <c r="AB591" i="9"/>
  <c r="AB595" i="9"/>
  <c r="AB599" i="9"/>
  <c r="N247" i="9"/>
  <c r="S247" i="9" s="1"/>
  <c r="AC247" i="9" s="1"/>
  <c r="Z247" i="9"/>
  <c r="N251" i="9"/>
  <c r="S251" i="9" s="1"/>
  <c r="AC251" i="9" s="1"/>
  <c r="Z251" i="9"/>
  <c r="N255" i="9"/>
  <c r="S255" i="9" s="1"/>
  <c r="AC255" i="9" s="1"/>
  <c r="Z255" i="9"/>
  <c r="N259" i="9"/>
  <c r="S259" i="9" s="1"/>
  <c r="AC259" i="9" s="1"/>
  <c r="Z259" i="9"/>
  <c r="N263" i="9"/>
  <c r="S263" i="9" s="1"/>
  <c r="AC263" i="9" s="1"/>
  <c r="Z263" i="9"/>
  <c r="N267" i="9"/>
  <c r="S267" i="9" s="1"/>
  <c r="AC267" i="9" s="1"/>
  <c r="Z267" i="9"/>
  <c r="N380" i="9"/>
  <c r="S380" i="9" s="1"/>
  <c r="AC380" i="9" s="1"/>
  <c r="Z380" i="9"/>
  <c r="N382" i="9"/>
  <c r="S382" i="9" s="1"/>
  <c r="AC382" i="9" s="1"/>
  <c r="Z382" i="9"/>
  <c r="N384" i="9"/>
  <c r="S384" i="9" s="1"/>
  <c r="AC384" i="9" s="1"/>
  <c r="Z384" i="9"/>
  <c r="N386" i="9"/>
  <c r="S386" i="9" s="1"/>
  <c r="AC386" i="9" s="1"/>
  <c r="Z386" i="9"/>
  <c r="N388" i="9"/>
  <c r="S388" i="9" s="1"/>
  <c r="AC388" i="9" s="1"/>
  <c r="Z388" i="9"/>
  <c r="N390" i="9"/>
  <c r="S390" i="9" s="1"/>
  <c r="AC390" i="9" s="1"/>
  <c r="Z390" i="9"/>
  <c r="N392" i="9"/>
  <c r="S392" i="9" s="1"/>
  <c r="AC392" i="9" s="1"/>
  <c r="Z392" i="9"/>
  <c r="N394" i="9"/>
  <c r="S394" i="9" s="1"/>
  <c r="AC394" i="9" s="1"/>
  <c r="Z394" i="9"/>
  <c r="N396" i="9"/>
  <c r="S396" i="9" s="1"/>
  <c r="AC396" i="9" s="1"/>
  <c r="Z396" i="9"/>
  <c r="N398" i="9"/>
  <c r="S398" i="9" s="1"/>
  <c r="AC398" i="9" s="1"/>
  <c r="Z398" i="9"/>
  <c r="N400" i="9"/>
  <c r="S400" i="9" s="1"/>
  <c r="AC400" i="9" s="1"/>
  <c r="Z400" i="9"/>
  <c r="N402" i="9"/>
  <c r="S402" i="9" s="1"/>
  <c r="AC402" i="9" s="1"/>
  <c r="Z402" i="9"/>
  <c r="N404" i="9"/>
  <c r="S404" i="9" s="1"/>
  <c r="AC404" i="9" s="1"/>
  <c r="Z404" i="9"/>
  <c r="N406" i="9"/>
  <c r="S406" i="9" s="1"/>
  <c r="AC406" i="9" s="1"/>
  <c r="Z406" i="9"/>
  <c r="N408" i="9"/>
  <c r="S408" i="9" s="1"/>
  <c r="AC408" i="9" s="1"/>
  <c r="Z408" i="9"/>
  <c r="N536" i="9"/>
  <c r="S536" i="9" s="1"/>
  <c r="AC536" i="9" s="1"/>
  <c r="Z536" i="9"/>
  <c r="N540" i="9"/>
  <c r="S540" i="9" s="1"/>
  <c r="AC540" i="9" s="1"/>
  <c r="Z540" i="9"/>
  <c r="N544" i="9"/>
  <c r="S544" i="9" s="1"/>
  <c r="AC544" i="9" s="1"/>
  <c r="Z544" i="9"/>
  <c r="AB664" i="9"/>
  <c r="Z664" i="9"/>
  <c r="Z666" i="9"/>
  <c r="AB668" i="9"/>
  <c r="Z668" i="9"/>
  <c r="Z670" i="9"/>
  <c r="AB672" i="9"/>
  <c r="Z672" i="9"/>
  <c r="Z674" i="9"/>
  <c r="AB676" i="9"/>
  <c r="Z676" i="9"/>
  <c r="Z678" i="9"/>
  <c r="AB680" i="9"/>
  <c r="Z680" i="9"/>
  <c r="Z682" i="9"/>
  <c r="AB684" i="9"/>
  <c r="Z684" i="9"/>
  <c r="Z686" i="9"/>
  <c r="AB688" i="9"/>
  <c r="Z688" i="9"/>
  <c r="Z690" i="9"/>
  <c r="AB692" i="9"/>
  <c r="Z692" i="9"/>
  <c r="Z694" i="9"/>
  <c r="AB696" i="9"/>
  <c r="Z696" i="9"/>
  <c r="U1017" i="9"/>
  <c r="Z856" i="9"/>
  <c r="Z1017" i="9" s="1"/>
  <c r="AB915" i="9"/>
  <c r="AA915" i="9" s="1"/>
  <c r="AB918" i="9"/>
  <c r="AA918" i="9" s="1"/>
  <c r="AB506" i="9"/>
  <c r="AA506" i="9" s="1"/>
  <c r="N1282" i="9"/>
  <c r="AB508" i="9"/>
  <c r="AA508" i="9" s="1"/>
  <c r="AB510" i="9"/>
  <c r="AA510" i="9" s="1"/>
  <c r="AB919" i="9"/>
  <c r="AA919" i="9" s="1"/>
  <c r="AB921" i="9"/>
  <c r="AA921" i="9" s="1"/>
  <c r="AB1035" i="9"/>
  <c r="AA1035" i="9" s="1"/>
  <c r="S1035" i="9"/>
  <c r="AC1035" i="9" s="1"/>
  <c r="AC1168" i="9" s="1"/>
  <c r="AB511" i="9"/>
  <c r="AA511" i="9" s="1"/>
  <c r="AB513" i="9"/>
  <c r="AA513" i="9" s="1"/>
  <c r="AB623" i="9"/>
  <c r="AA623" i="9" s="1"/>
  <c r="S623" i="9"/>
  <c r="AC623" i="9" s="1"/>
  <c r="AB625" i="9"/>
  <c r="AA625" i="9" s="1"/>
  <c r="S625" i="9"/>
  <c r="AC625" i="9" s="1"/>
  <c r="AB627" i="9"/>
  <c r="AA627" i="9" s="1"/>
  <c r="S627" i="9"/>
  <c r="AC627" i="9" s="1"/>
  <c r="AB923" i="9"/>
  <c r="AA923" i="9" s="1"/>
  <c r="AB925" i="9"/>
  <c r="AA925" i="9" s="1"/>
  <c r="AB1037" i="9"/>
  <c r="AA1037" i="9" s="1"/>
  <c r="S1037" i="9"/>
  <c r="AC1037" i="9" s="1"/>
  <c r="AB1039" i="9"/>
  <c r="AA1039" i="9" s="1"/>
  <c r="S1039" i="9"/>
  <c r="AC1039" i="9" s="1"/>
  <c r="AB1171" i="9"/>
  <c r="AA1171" i="9" s="1"/>
  <c r="S1171" i="9"/>
  <c r="AC1171" i="9" s="1"/>
  <c r="AB514" i="9"/>
  <c r="AA514" i="9" s="1"/>
  <c r="AB927" i="9"/>
  <c r="AA927" i="9" s="1"/>
  <c r="AB929" i="9"/>
  <c r="AA929" i="9" s="1"/>
  <c r="AB931" i="9"/>
  <c r="AA931" i="9" s="1"/>
  <c r="AB1041" i="9"/>
  <c r="AA1041" i="9" s="1"/>
  <c r="S1041" i="9"/>
  <c r="AC1041" i="9" s="1"/>
  <c r="AB1043" i="9"/>
  <c r="AA1043" i="9" s="1"/>
  <c r="S1043" i="9"/>
  <c r="AC1043" i="9" s="1"/>
  <c r="AB516" i="9"/>
  <c r="AA516" i="9" s="1"/>
  <c r="AB933" i="9"/>
  <c r="AA933" i="9" s="1"/>
  <c r="AB1046" i="9"/>
  <c r="AA1046" i="9" s="1"/>
  <c r="S1046" i="9"/>
  <c r="AC1046" i="9" s="1"/>
  <c r="AB1048" i="9"/>
  <c r="AA1048" i="9" s="1"/>
  <c r="S1048" i="9"/>
  <c r="AC1048" i="9" s="1"/>
  <c r="AB1173" i="9"/>
  <c r="AA1173" i="9" s="1"/>
  <c r="S1173" i="9"/>
  <c r="AC1173" i="9" s="1"/>
  <c r="AB1175" i="9"/>
  <c r="AA1175" i="9" s="1"/>
  <c r="S1175" i="9"/>
  <c r="AC1175" i="9" s="1"/>
  <c r="AB518" i="9"/>
  <c r="AA518" i="9" s="1"/>
  <c r="AB939" i="9"/>
  <c r="AA939" i="9" s="1"/>
  <c r="AB941" i="9"/>
  <c r="AA941" i="9" s="1"/>
  <c r="AB1176" i="9"/>
  <c r="AA1176" i="9" s="1"/>
  <c r="S1176" i="9"/>
  <c r="AC1176" i="9" s="1"/>
  <c r="AB1053" i="9"/>
  <c r="AA1053" i="9" s="1"/>
  <c r="S1053" i="9"/>
  <c r="AC1053" i="9" s="1"/>
  <c r="AB944" i="9"/>
  <c r="AA944" i="9" s="1"/>
  <c r="AB1178" i="9"/>
  <c r="AA1178" i="9" s="1"/>
  <c r="S1178" i="9"/>
  <c r="AC1178" i="9" s="1"/>
  <c r="AB946" i="9"/>
  <c r="AA946" i="9" s="1"/>
  <c r="AB1179" i="9"/>
  <c r="AA1179" i="9" s="1"/>
  <c r="S1179" i="9"/>
  <c r="AC1179" i="9" s="1"/>
  <c r="AB629" i="9"/>
  <c r="AA629" i="9" s="1"/>
  <c r="S629" i="9"/>
  <c r="AC629" i="9" s="1"/>
  <c r="AB947" i="9"/>
  <c r="AA947" i="9" s="1"/>
  <c r="AB1056" i="9"/>
  <c r="AA1056" i="9" s="1"/>
  <c r="S1056" i="9"/>
  <c r="AC1056" i="9" s="1"/>
  <c r="AB1058" i="9"/>
  <c r="AA1058" i="9" s="1"/>
  <c r="S1058" i="9"/>
  <c r="AC1058" i="9" s="1"/>
  <c r="AB522" i="9"/>
  <c r="AA522" i="9" s="1"/>
  <c r="AB949" i="9"/>
  <c r="AA949" i="9" s="1"/>
  <c r="AB631" i="9"/>
  <c r="AA631" i="9" s="1"/>
  <c r="S631" i="9"/>
  <c r="AC631" i="9" s="1"/>
  <c r="AB950" i="9"/>
  <c r="AA950" i="9" s="1"/>
  <c r="AB952" i="9"/>
  <c r="AA952" i="9" s="1"/>
  <c r="AB1061" i="9"/>
  <c r="AA1061" i="9" s="1"/>
  <c r="S1061" i="9"/>
  <c r="AC1061" i="9" s="1"/>
  <c r="AB1063" i="9"/>
  <c r="AA1063" i="9" s="1"/>
  <c r="S1063" i="9"/>
  <c r="AC1063" i="9" s="1"/>
  <c r="AB1065" i="9"/>
  <c r="AA1065" i="9" s="1"/>
  <c r="S1065" i="9"/>
  <c r="AC1065" i="9" s="1"/>
  <c r="AB954" i="9"/>
  <c r="AA954" i="9" s="1"/>
  <c r="AB632" i="9"/>
  <c r="AA632" i="9" s="1"/>
  <c r="S632" i="9"/>
  <c r="AC632" i="9" s="1"/>
  <c r="AB1067" i="9"/>
  <c r="AA1067" i="9" s="1"/>
  <c r="S1067" i="9"/>
  <c r="AC1067" i="9" s="1"/>
  <c r="AB1182" i="9"/>
  <c r="AA1182" i="9" s="1"/>
  <c r="S1182" i="9"/>
  <c r="AC1182" i="9" s="1"/>
  <c r="AB525" i="9"/>
  <c r="AA525" i="9" s="1"/>
  <c r="AB955" i="9"/>
  <c r="AA955" i="9" s="1"/>
  <c r="AB957" i="9"/>
  <c r="AA957" i="9" s="1"/>
  <c r="AB1069" i="9"/>
  <c r="AA1069" i="9" s="1"/>
  <c r="S1069" i="9"/>
  <c r="AC1069" i="9" s="1"/>
  <c r="AB1071" i="9"/>
  <c r="AA1071" i="9" s="1"/>
  <c r="S1071" i="9"/>
  <c r="AC1071" i="9" s="1"/>
  <c r="AB1073" i="9"/>
  <c r="AA1073" i="9" s="1"/>
  <c r="S1073" i="9"/>
  <c r="AC1073" i="9" s="1"/>
  <c r="AB1074" i="9"/>
  <c r="AA1074" i="9" s="1"/>
  <c r="S1074" i="9"/>
  <c r="AC1074" i="9" s="1"/>
  <c r="AB526" i="9"/>
  <c r="AA526" i="9" s="1"/>
  <c r="AB963" i="9"/>
  <c r="AA963" i="9" s="1"/>
  <c r="AB965" i="9"/>
  <c r="AA965" i="9" s="1"/>
  <c r="AB1076" i="9"/>
  <c r="AA1076" i="9" s="1"/>
  <c r="S1076" i="9"/>
  <c r="AC1076" i="9" s="1"/>
  <c r="AB1078" i="9"/>
  <c r="AA1078" i="9" s="1"/>
  <c r="S1078" i="9"/>
  <c r="AC1078" i="9" s="1"/>
  <c r="AB1080" i="9"/>
  <c r="AA1080" i="9" s="1"/>
  <c r="S1080" i="9"/>
  <c r="AC1080" i="9" s="1"/>
  <c r="AB1082" i="9"/>
  <c r="AA1082" i="9" s="1"/>
  <c r="S1082" i="9"/>
  <c r="AC1082" i="9" s="1"/>
  <c r="M636" i="9"/>
  <c r="M534" i="9"/>
  <c r="M364" i="9"/>
  <c r="AA41" i="9"/>
  <c r="AA32" i="9"/>
  <c r="W22" i="9"/>
  <c r="W1296" i="9" s="1"/>
  <c r="AA9" i="9"/>
  <c r="V9" i="9"/>
  <c r="AB935" i="9"/>
  <c r="AA935" i="9" s="1"/>
  <c r="AB936" i="9"/>
  <c r="AA936" i="9" s="1"/>
  <c r="AB937" i="9"/>
  <c r="AA937" i="9" s="1"/>
  <c r="AB1044" i="9"/>
  <c r="AA1044" i="9" s="1"/>
  <c r="AB1045" i="9"/>
  <c r="AA1045" i="9" s="1"/>
  <c r="S12" i="9"/>
  <c r="AC12" i="9" s="1"/>
  <c r="S14" i="9"/>
  <c r="AC14" i="9" s="1"/>
  <c r="S16" i="9"/>
  <c r="AC16" i="9" s="1"/>
  <c r="Z18" i="9"/>
  <c r="Z20" i="9"/>
  <c r="S24" i="9"/>
  <c r="AC24" i="9" s="1"/>
  <c r="Z26" i="9"/>
  <c r="Z28" i="9"/>
  <c r="S35" i="9"/>
  <c r="AC35" i="9" s="1"/>
  <c r="Z37" i="9"/>
  <c r="S43" i="9"/>
  <c r="S45" i="9"/>
  <c r="S47" i="9"/>
  <c r="Z49" i="9"/>
  <c r="Z51" i="9"/>
  <c r="Z53" i="9"/>
  <c r="Z55" i="9"/>
  <c r="Z58" i="9"/>
  <c r="Z60" i="9"/>
  <c r="Z62" i="9"/>
  <c r="Z64" i="9"/>
  <c r="Z68" i="9"/>
  <c r="S92" i="9"/>
  <c r="AC92" i="9" s="1"/>
  <c r="S94" i="9"/>
  <c r="AC94" i="9" s="1"/>
  <c r="S96" i="9"/>
  <c r="AC96" i="9" s="1"/>
  <c r="S136" i="9"/>
  <c r="AC136" i="9" s="1"/>
  <c r="Z98" i="9"/>
  <c r="Z100" i="9"/>
  <c r="Z102" i="9"/>
  <c r="Z104" i="9"/>
  <c r="Z107" i="9"/>
  <c r="Z111" i="9"/>
  <c r="Z113" i="9"/>
  <c r="Z115" i="9"/>
  <c r="Z117" i="9"/>
  <c r="Z121" i="9"/>
  <c r="Z123" i="9"/>
  <c r="S140" i="9"/>
  <c r="S142" i="9"/>
  <c r="S144" i="9"/>
  <c r="S146" i="9"/>
  <c r="S148" i="9"/>
  <c r="S150" i="9"/>
  <c r="S152" i="9"/>
  <c r="Z155" i="9"/>
  <c r="Z157" i="9"/>
  <c r="Z159" i="9"/>
  <c r="Z161" i="9"/>
  <c r="Z163" i="9"/>
  <c r="Z165" i="9"/>
  <c r="Z167" i="9"/>
  <c r="Z169" i="9"/>
  <c r="Z171" i="9"/>
  <c r="Z174" i="9"/>
  <c r="Z176" i="9"/>
  <c r="Z178" i="9"/>
  <c r="Z180" i="9"/>
  <c r="Z182" i="9"/>
  <c r="Z184" i="9"/>
  <c r="Z187" i="9"/>
  <c r="Z191" i="9"/>
  <c r="Z194" i="9"/>
  <c r="Z196" i="9"/>
  <c r="Z198" i="9"/>
  <c r="Z202" i="9"/>
  <c r="Z204" i="9"/>
  <c r="Z206" i="9"/>
  <c r="Z208" i="9"/>
  <c r="Z210" i="9"/>
  <c r="Z212" i="9"/>
  <c r="Z214" i="9"/>
  <c r="Z216" i="9"/>
  <c r="Z218" i="9"/>
  <c r="Z220" i="9"/>
  <c r="Z222" i="9"/>
  <c r="Z224" i="9"/>
  <c r="Z226" i="9"/>
  <c r="Z228" i="9"/>
  <c r="Z230" i="9"/>
  <c r="Z232" i="9"/>
  <c r="Z234" i="9"/>
  <c r="Z236" i="9"/>
  <c r="Z238" i="9"/>
  <c r="Z240" i="9"/>
  <c r="Z242" i="9"/>
  <c r="Z244" i="9"/>
  <c r="S1186" i="9"/>
  <c r="AC1186" i="9" s="1"/>
  <c r="AB1187" i="9"/>
  <c r="AB1189" i="9"/>
  <c r="AA1189" i="9"/>
  <c r="AA360" i="9"/>
  <c r="AB527" i="9"/>
  <c r="AA634" i="9"/>
  <c r="AA1191" i="9"/>
  <c r="AA1193" i="9"/>
  <c r="AB967" i="9"/>
  <c r="N1292" i="9"/>
  <c r="AA1083" i="9"/>
  <c r="S1086" i="9"/>
  <c r="AC1086" i="9" s="1"/>
  <c r="S1088" i="9"/>
  <c r="AC1088" i="9" s="1"/>
  <c r="AA1195" i="9"/>
  <c r="AA1197" i="9"/>
  <c r="AA529" i="9"/>
  <c r="AB973" i="9"/>
  <c r="AB974" i="9"/>
  <c r="S1091" i="9"/>
  <c r="AC1091" i="9" s="1"/>
  <c r="AA635" i="9"/>
  <c r="AB975" i="9"/>
  <c r="AB976" i="9"/>
  <c r="AB1092" i="9"/>
  <c r="S1094" i="9"/>
  <c r="AC1094" i="9" s="1"/>
  <c r="S1096" i="9"/>
  <c r="AC1096" i="9" s="1"/>
  <c r="S1098" i="9"/>
  <c r="AC1098" i="9" s="1"/>
  <c r="AB1199" i="9"/>
  <c r="AB1200" i="9"/>
  <c r="AB1201" i="9"/>
  <c r="AA1199" i="9"/>
  <c r="AA1201" i="9"/>
  <c r="AB361" i="9"/>
  <c r="AA1101" i="9"/>
  <c r="AA1103" i="9"/>
  <c r="AA1105" i="9"/>
  <c r="AA1203" i="9"/>
  <c r="AA1205" i="9"/>
  <c r="AA1207" i="9"/>
  <c r="AA1209" i="9"/>
  <c r="AA1210" i="9"/>
  <c r="AB1188" i="9"/>
  <c r="AA1190" i="9"/>
  <c r="AA1192" i="9"/>
  <c r="AB970" i="9"/>
  <c r="S1084" i="9"/>
  <c r="AC1084" i="9" s="1"/>
  <c r="AA1194" i="9"/>
  <c r="AA1196" i="9"/>
  <c r="AA1092" i="9"/>
  <c r="AA1198" i="9"/>
  <c r="AA1200" i="9"/>
  <c r="AA1100" i="9"/>
  <c r="AB1206" i="9"/>
  <c r="AB1207" i="9"/>
  <c r="AA1204" i="9"/>
  <c r="AA1206" i="9"/>
  <c r="AA1213" i="9"/>
  <c r="AA828" i="9"/>
  <c r="AB1213" i="9"/>
  <c r="AB1203" i="9"/>
  <c r="AB1100" i="9"/>
  <c r="AB1198" i="9"/>
  <c r="AB1196" i="9"/>
  <c r="AB1194" i="9"/>
  <c r="S1291" i="9"/>
  <c r="Q37" i="21"/>
  <c r="R37" i="21" s="1"/>
  <c r="Q39" i="21"/>
  <c r="R39" i="21" s="1"/>
  <c r="J39" i="21"/>
  <c r="P39" i="21" s="1"/>
  <c r="L5" i="21"/>
  <c r="O6" i="21"/>
  <c r="O58" i="21" s="1"/>
  <c r="F7" i="7" s="1"/>
  <c r="F8" i="7" s="1"/>
  <c r="F9" i="7" s="1"/>
  <c r="L36" i="21"/>
  <c r="L38" i="21"/>
  <c r="L40" i="21"/>
  <c r="K58" i="21"/>
  <c r="L17" i="21"/>
  <c r="L35" i="21"/>
  <c r="L37" i="21"/>
  <c r="C35" i="7"/>
  <c r="I32" i="9"/>
  <c r="E16" i="7"/>
  <c r="F16" i="7"/>
  <c r="N15" i="6"/>
  <c r="N20" i="8"/>
  <c r="P58" i="21"/>
  <c r="N49" i="4"/>
  <c r="K49" i="4"/>
  <c r="D14" i="7"/>
  <c r="D16" i="7" s="1"/>
  <c r="AA649" i="9"/>
  <c r="M76" i="9"/>
  <c r="N76" i="9" s="1"/>
  <c r="M74" i="9"/>
  <c r="N74" i="9" s="1"/>
  <c r="AA661" i="9"/>
  <c r="AA660" i="9"/>
  <c r="AA659" i="9"/>
  <c r="I137" i="9"/>
  <c r="AA651" i="9"/>
  <c r="AA648" i="9"/>
  <c r="AA647" i="9"/>
  <c r="L636" i="9"/>
  <c r="AA445" i="9"/>
  <c r="AA444" i="9"/>
  <c r="AA443" i="9"/>
  <c r="AA442" i="9"/>
  <c r="AA441" i="9"/>
  <c r="AA440" i="9"/>
  <c r="AA439" i="9"/>
  <c r="AA438" i="9"/>
  <c r="AA437" i="9"/>
  <c r="AA436" i="9"/>
  <c r="AA435" i="9"/>
  <c r="AA434" i="9"/>
  <c r="AA433" i="9"/>
  <c r="L41" i="9"/>
  <c r="L855" i="9"/>
  <c r="AA657" i="9"/>
  <c r="U655" i="9"/>
  <c r="AA654" i="9"/>
  <c r="AA653" i="9"/>
  <c r="I41" i="9"/>
  <c r="I22" i="9"/>
  <c r="AB7" i="9"/>
  <c r="AB1169" i="9"/>
  <c r="AA1174" i="9"/>
  <c r="J137" i="9"/>
  <c r="L137" i="9"/>
  <c r="G1296" i="9"/>
  <c r="E1296" i="9"/>
  <c r="L32" i="9"/>
  <c r="J32" i="9"/>
  <c r="AA662" i="9"/>
  <c r="AA656" i="9"/>
  <c r="AA650" i="9"/>
  <c r="M72" i="9"/>
  <c r="I89" i="9"/>
  <c r="AB914" i="9"/>
  <c r="AA914" i="9" s="1"/>
  <c r="AB1031" i="9"/>
  <c r="AA1031" i="9" s="1"/>
  <c r="U432" i="9"/>
  <c r="AA432" i="9"/>
  <c r="U430" i="9"/>
  <c r="AA430" i="9"/>
  <c r="U428" i="9"/>
  <c r="AA428" i="9"/>
  <c r="U426" i="9"/>
  <c r="AA426" i="9"/>
  <c r="U424" i="9"/>
  <c r="AA424" i="9"/>
  <c r="U422" i="9"/>
  <c r="AA422" i="9"/>
  <c r="U420" i="9"/>
  <c r="AA420" i="9"/>
  <c r="U418" i="9"/>
  <c r="AA418" i="9"/>
  <c r="U416" i="9"/>
  <c r="AA416" i="9"/>
  <c r="U414" i="9"/>
  <c r="AA414" i="9"/>
  <c r="U412" i="9"/>
  <c r="AA412" i="9"/>
  <c r="AA658" i="9"/>
  <c r="AA652" i="9"/>
  <c r="L89" i="9"/>
  <c r="AB907" i="9"/>
  <c r="AA907" i="9" s="1"/>
  <c r="AB910" i="9"/>
  <c r="AA910" i="9" s="1"/>
  <c r="AB1028" i="9"/>
  <c r="AA1028" i="9" s="1"/>
  <c r="AB912" i="9"/>
  <c r="AA912" i="9" s="1"/>
  <c r="AB1033" i="9"/>
  <c r="AA1033" i="9" s="1"/>
  <c r="AA645" i="9"/>
  <c r="AA643" i="9"/>
  <c r="AA641" i="9"/>
  <c r="AA639" i="9"/>
  <c r="AA637" i="9"/>
  <c r="AA574" i="9"/>
  <c r="AA573" i="9"/>
  <c r="AA572" i="9"/>
  <c r="AA571" i="9"/>
  <c r="AA570" i="9"/>
  <c r="AA569" i="9"/>
  <c r="AA568" i="9"/>
  <c r="AA567" i="9"/>
  <c r="AA566" i="9"/>
  <c r="AA564" i="9"/>
  <c r="AA562" i="9"/>
  <c r="AA560" i="9"/>
  <c r="AA558" i="9"/>
  <c r="AA556" i="9"/>
  <c r="AA554" i="9"/>
  <c r="AA552" i="9"/>
  <c r="AA550" i="9"/>
  <c r="K534" i="9"/>
  <c r="K364" i="9"/>
  <c r="AA302" i="9"/>
  <c r="AA301" i="9"/>
  <c r="AA300" i="9"/>
  <c r="AA299" i="9"/>
  <c r="AA298" i="9"/>
  <c r="AA297" i="9"/>
  <c r="AA296" i="9"/>
  <c r="AA295" i="9"/>
  <c r="AA294" i="9"/>
  <c r="AA293" i="9"/>
  <c r="AA292" i="9"/>
  <c r="AA290" i="9"/>
  <c r="AA288" i="9"/>
  <c r="AA286" i="9"/>
  <c r="AA284" i="9"/>
  <c r="AA282" i="9"/>
  <c r="AA280" i="9"/>
  <c r="AA278" i="9"/>
  <c r="AA276" i="9"/>
  <c r="AA274" i="9"/>
  <c r="AA272" i="9"/>
  <c r="AA123" i="9"/>
  <c r="AA122" i="9"/>
  <c r="AA121" i="9"/>
  <c r="AA119" i="9"/>
  <c r="K89" i="9"/>
  <c r="J22" i="9"/>
  <c r="K9" i="9"/>
  <c r="AB905" i="9"/>
  <c r="AA905" i="9" s="1"/>
  <c r="U646" i="9"/>
  <c r="AA646" i="9"/>
  <c r="U644" i="9"/>
  <c r="AA644" i="9"/>
  <c r="U642" i="9"/>
  <c r="AA642" i="9"/>
  <c r="U640" i="9"/>
  <c r="AA640" i="9"/>
  <c r="U638" i="9"/>
  <c r="AA638" i="9"/>
  <c r="T637" i="9"/>
  <c r="U565" i="9"/>
  <c r="AA565" i="9"/>
  <c r="U563" i="9"/>
  <c r="AA563" i="9"/>
  <c r="U561" i="9"/>
  <c r="AA561" i="9"/>
  <c r="U559" i="9"/>
  <c r="AA559" i="9"/>
  <c r="U557" i="9"/>
  <c r="AA557" i="9"/>
  <c r="U555" i="9"/>
  <c r="AA555" i="9"/>
  <c r="U553" i="9"/>
  <c r="AA553" i="9"/>
  <c r="U551" i="9"/>
  <c r="AA551" i="9"/>
  <c r="U549" i="9"/>
  <c r="AA549" i="9"/>
  <c r="U291" i="9"/>
  <c r="AA291" i="9"/>
  <c r="U289" i="9"/>
  <c r="AA289" i="9"/>
  <c r="U287" i="9"/>
  <c r="AA287" i="9"/>
  <c r="U285" i="9"/>
  <c r="AA285" i="9"/>
  <c r="U283" i="9"/>
  <c r="AA283" i="9"/>
  <c r="U281" i="9"/>
  <c r="AA281" i="9"/>
  <c r="U279" i="9"/>
  <c r="AA279" i="9"/>
  <c r="U277" i="9"/>
  <c r="AA277" i="9"/>
  <c r="U275" i="9"/>
  <c r="AA275" i="9"/>
  <c r="U273" i="9"/>
  <c r="AA273" i="9"/>
  <c r="U271" i="9"/>
  <c r="AA271" i="9"/>
  <c r="L534" i="9"/>
  <c r="L364" i="9"/>
  <c r="O34" i="4"/>
  <c r="O35" i="4" s="1"/>
  <c r="O49" i="4" s="1"/>
  <c r="G33" i="7" s="1"/>
  <c r="I35" i="4"/>
  <c r="I49" i="4" s="1"/>
  <c r="U431" i="9"/>
  <c r="AA431" i="9"/>
  <c r="U429" i="9"/>
  <c r="AA429" i="9"/>
  <c r="U427" i="9"/>
  <c r="AA427" i="9"/>
  <c r="U425" i="9"/>
  <c r="AA425" i="9"/>
  <c r="U423" i="9"/>
  <c r="AA423" i="9"/>
  <c r="U421" i="9"/>
  <c r="AA421" i="9"/>
  <c r="U419" i="9"/>
  <c r="AA419" i="9"/>
  <c r="U417" i="9"/>
  <c r="AA417" i="9"/>
  <c r="U415" i="9"/>
  <c r="AA415" i="9"/>
  <c r="U413" i="9"/>
  <c r="AA413" i="9"/>
  <c r="U270" i="9"/>
  <c r="AA270" i="9"/>
  <c r="AA364" i="9" s="1"/>
  <c r="U120" i="9"/>
  <c r="AA120" i="9"/>
  <c r="J58" i="21"/>
  <c r="N33" i="9"/>
  <c r="N11" i="9"/>
  <c r="H49" i="4"/>
  <c r="N574" i="9"/>
  <c r="S574" i="9" s="1"/>
  <c r="AC574" i="9" s="1"/>
  <c r="N573" i="9"/>
  <c r="S573" i="9" s="1"/>
  <c r="AC573" i="9" s="1"/>
  <c r="N572" i="9"/>
  <c r="S572" i="9" s="1"/>
  <c r="AC572" i="9" s="1"/>
  <c r="N571" i="9"/>
  <c r="S571" i="9" s="1"/>
  <c r="AC571" i="9" s="1"/>
  <c r="N570" i="9"/>
  <c r="S570" i="9" s="1"/>
  <c r="AC570" i="9" s="1"/>
  <c r="N569" i="9"/>
  <c r="S569" i="9" s="1"/>
  <c r="AC569" i="9" s="1"/>
  <c r="N568" i="9"/>
  <c r="S568" i="9" s="1"/>
  <c r="AC568" i="9" s="1"/>
  <c r="N567" i="9"/>
  <c r="S567" i="9" s="1"/>
  <c r="AC567" i="9" s="1"/>
  <c r="N566" i="9"/>
  <c r="S566" i="9" s="1"/>
  <c r="AC566" i="9" s="1"/>
  <c r="N564" i="9"/>
  <c r="S564" i="9" s="1"/>
  <c r="AC564" i="9" s="1"/>
  <c r="N562" i="9"/>
  <c r="S562" i="9" s="1"/>
  <c r="AC562" i="9" s="1"/>
  <c r="N560" i="9"/>
  <c r="S560" i="9" s="1"/>
  <c r="AC560" i="9" s="1"/>
  <c r="N558" i="9"/>
  <c r="S558" i="9" s="1"/>
  <c r="AC558" i="9" s="1"/>
  <c r="N556" i="9"/>
  <c r="S556" i="9" s="1"/>
  <c r="AC556" i="9" s="1"/>
  <c r="N554" i="9"/>
  <c r="S554" i="9" s="1"/>
  <c r="AC554" i="9" s="1"/>
  <c r="N552" i="9"/>
  <c r="S552" i="9" s="1"/>
  <c r="AC552" i="9" s="1"/>
  <c r="N550" i="9"/>
  <c r="S550" i="9" s="1"/>
  <c r="AC550" i="9" s="1"/>
  <c r="N445" i="9"/>
  <c r="S445" i="9" s="1"/>
  <c r="AC445" i="9" s="1"/>
  <c r="N444" i="9"/>
  <c r="S444" i="9" s="1"/>
  <c r="AC444" i="9" s="1"/>
  <c r="N443" i="9"/>
  <c r="S443" i="9" s="1"/>
  <c r="AC443" i="9" s="1"/>
  <c r="N442" i="9"/>
  <c r="S442" i="9" s="1"/>
  <c r="AC442" i="9" s="1"/>
  <c r="N441" i="9"/>
  <c r="S441" i="9" s="1"/>
  <c r="AC441" i="9" s="1"/>
  <c r="N440" i="9"/>
  <c r="S440" i="9" s="1"/>
  <c r="AC440" i="9" s="1"/>
  <c r="N439" i="9"/>
  <c r="S439" i="9" s="1"/>
  <c r="AC439" i="9" s="1"/>
  <c r="N438" i="9"/>
  <c r="S438" i="9" s="1"/>
  <c r="AC438" i="9" s="1"/>
  <c r="N437" i="9"/>
  <c r="S437" i="9" s="1"/>
  <c r="AC437" i="9" s="1"/>
  <c r="N436" i="9"/>
  <c r="S436" i="9" s="1"/>
  <c r="AC436" i="9" s="1"/>
  <c r="N435" i="9"/>
  <c r="S435" i="9" s="1"/>
  <c r="AC435" i="9" s="1"/>
  <c r="N434" i="9"/>
  <c r="S434" i="9" s="1"/>
  <c r="AC434" i="9" s="1"/>
  <c r="N433" i="9"/>
  <c r="S433" i="9" s="1"/>
  <c r="AC433" i="9" s="1"/>
  <c r="N302" i="9"/>
  <c r="S302" i="9" s="1"/>
  <c r="AC302" i="9" s="1"/>
  <c r="N301" i="9"/>
  <c r="S301" i="9" s="1"/>
  <c r="AC301" i="9" s="1"/>
  <c r="N300" i="9"/>
  <c r="S300" i="9" s="1"/>
  <c r="AC300" i="9" s="1"/>
  <c r="N299" i="9"/>
  <c r="S299" i="9" s="1"/>
  <c r="AC299" i="9" s="1"/>
  <c r="N298" i="9"/>
  <c r="S298" i="9" s="1"/>
  <c r="AC298" i="9" s="1"/>
  <c r="N297" i="9"/>
  <c r="S297" i="9" s="1"/>
  <c r="AC297" i="9" s="1"/>
  <c r="N296" i="9"/>
  <c r="S296" i="9" s="1"/>
  <c r="AC296" i="9" s="1"/>
  <c r="N295" i="9"/>
  <c r="S295" i="9" s="1"/>
  <c r="AC295" i="9" s="1"/>
  <c r="N294" i="9"/>
  <c r="S294" i="9" s="1"/>
  <c r="AC294" i="9" s="1"/>
  <c r="N293" i="9"/>
  <c r="S293" i="9" s="1"/>
  <c r="AC293" i="9" s="1"/>
  <c r="N292" i="9"/>
  <c r="S292" i="9" s="1"/>
  <c r="AC292" i="9" s="1"/>
  <c r="N290" i="9"/>
  <c r="S290" i="9" s="1"/>
  <c r="AC290" i="9" s="1"/>
  <c r="N288" i="9"/>
  <c r="S288" i="9" s="1"/>
  <c r="AC288" i="9" s="1"/>
  <c r="N286" i="9"/>
  <c r="S286" i="9" s="1"/>
  <c r="AC286" i="9" s="1"/>
  <c r="N284" i="9"/>
  <c r="S284" i="9" s="1"/>
  <c r="AC284" i="9" s="1"/>
  <c r="N282" i="9"/>
  <c r="S282" i="9" s="1"/>
  <c r="AC282" i="9" s="1"/>
  <c r="N280" i="9"/>
  <c r="S280" i="9" s="1"/>
  <c r="AC280" i="9" s="1"/>
  <c r="N278" i="9"/>
  <c r="S278" i="9" s="1"/>
  <c r="AC278" i="9" s="1"/>
  <c r="N276" i="9"/>
  <c r="S276" i="9" s="1"/>
  <c r="AC276" i="9" s="1"/>
  <c r="N274" i="9"/>
  <c r="S274" i="9" s="1"/>
  <c r="AC274" i="9" s="1"/>
  <c r="N272" i="9"/>
  <c r="S272" i="9" s="1"/>
  <c r="AC272" i="9" s="1"/>
  <c r="J41" i="9"/>
  <c r="J1296" i="9" s="1"/>
  <c r="L22" i="9"/>
  <c r="U8" i="9"/>
  <c r="N8" i="9" s="1"/>
  <c r="S8" i="9" s="1"/>
  <c r="AC8" i="9" s="1"/>
  <c r="AB8" i="9"/>
  <c r="U6" i="9"/>
  <c r="U9" i="9" s="1"/>
  <c r="AB6" i="9"/>
  <c r="AA76" i="9"/>
  <c r="M75" i="9"/>
  <c r="AA74" i="9"/>
  <c r="M73" i="9"/>
  <c r="AA72" i="9"/>
  <c r="M71" i="9"/>
  <c r="M89" i="9" s="1"/>
  <c r="K22" i="9"/>
  <c r="N123" i="9"/>
  <c r="S123" i="9" s="1"/>
  <c r="AC123" i="9" s="1"/>
  <c r="N122" i="9"/>
  <c r="S122" i="9" s="1"/>
  <c r="AC122" i="9" s="1"/>
  <c r="N121" i="9"/>
  <c r="S121" i="9" s="1"/>
  <c r="AC121" i="9" s="1"/>
  <c r="L9" i="9"/>
  <c r="AB904" i="9"/>
  <c r="AA904" i="9" s="1"/>
  <c r="AB906" i="9"/>
  <c r="AA906" i="9" s="1"/>
  <c r="AB908" i="9"/>
  <c r="AA908" i="9" s="1"/>
  <c r="AB909" i="9"/>
  <c r="AA909" i="9" s="1"/>
  <c r="AB1029" i="9"/>
  <c r="AA1029" i="9" s="1"/>
  <c r="M1027" i="9"/>
  <c r="M1168" i="9" s="1"/>
  <c r="AB5" i="9"/>
  <c r="AB9" i="9" s="1"/>
  <c r="AB903" i="9"/>
  <c r="AA903" i="9" s="1"/>
  <c r="AB911" i="9"/>
  <c r="AA911" i="9" s="1"/>
  <c r="AB1027" i="9"/>
  <c r="AA1027" i="9" s="1"/>
  <c r="AB913" i="9"/>
  <c r="AA913" i="9" s="1"/>
  <c r="AB1032" i="9"/>
  <c r="AA1032" i="9" s="1"/>
  <c r="AB1030" i="9"/>
  <c r="AA1030" i="9" s="1"/>
  <c r="U535" i="9"/>
  <c r="U378" i="9"/>
  <c r="Z378" i="9" s="1"/>
  <c r="U200" i="9"/>
  <c r="Z200" i="9" s="1"/>
  <c r="U66" i="9"/>
  <c r="U56" i="9"/>
  <c r="Z56" i="9" s="1"/>
  <c r="H16" i="7" l="1"/>
  <c r="G15" i="7"/>
  <c r="G16" i="7" s="1"/>
  <c r="R58" i="21"/>
  <c r="H7" i="7" s="1"/>
  <c r="S1292" i="9"/>
  <c r="AC1291" i="9"/>
  <c r="AC1292" i="9" s="1"/>
  <c r="Z152" i="9"/>
  <c r="AC152" i="9"/>
  <c r="Z150" i="9"/>
  <c r="AC150" i="9"/>
  <c r="Z148" i="9"/>
  <c r="AC148" i="9"/>
  <c r="Z146" i="9"/>
  <c r="AC146" i="9"/>
  <c r="Z144" i="9"/>
  <c r="AC144" i="9"/>
  <c r="Z142" i="9"/>
  <c r="AC142" i="9"/>
  <c r="Z140" i="9"/>
  <c r="AC140" i="9"/>
  <c r="Z47" i="9"/>
  <c r="AC47" i="9"/>
  <c r="Z45" i="9"/>
  <c r="AC45" i="9"/>
  <c r="Z43" i="9"/>
  <c r="AC43" i="9"/>
  <c r="Z153" i="9"/>
  <c r="AC153" i="9"/>
  <c r="Z151" i="9"/>
  <c r="AC151" i="9"/>
  <c r="Z149" i="9"/>
  <c r="AC149" i="9"/>
  <c r="Z147" i="9"/>
  <c r="AC147" i="9"/>
  <c r="Z145" i="9"/>
  <c r="AC145" i="9"/>
  <c r="Z143" i="9"/>
  <c r="AC143" i="9"/>
  <c r="Z141" i="9"/>
  <c r="AC141" i="9"/>
  <c r="Z139" i="9"/>
  <c r="AC139" i="9"/>
  <c r="Z48" i="9"/>
  <c r="AC48" i="9"/>
  <c r="Z46" i="9"/>
  <c r="AC46" i="9"/>
  <c r="Z44" i="9"/>
  <c r="AC44" i="9"/>
  <c r="AB186" i="9"/>
  <c r="S186" i="9"/>
  <c r="AC186" i="9" s="1"/>
  <c r="AC1290" i="9"/>
  <c r="L15" i="6"/>
  <c r="P7" i="4"/>
  <c r="P8" i="4" s="1"/>
  <c r="P49" i="4" s="1"/>
  <c r="H33" i="7" s="1"/>
  <c r="J8" i="4"/>
  <c r="J49" i="4" s="1"/>
  <c r="D33" i="7" s="1"/>
  <c r="U76" i="9"/>
  <c r="Z76" i="9" s="1"/>
  <c r="AA636" i="9"/>
  <c r="U74" i="9"/>
  <c r="Z74" i="9" s="1"/>
  <c r="S1168" i="9"/>
  <c r="V1296" i="9"/>
  <c r="AB1282" i="9"/>
  <c r="M1017" i="9"/>
  <c r="AA1017" i="9"/>
  <c r="L1296" i="9"/>
  <c r="K1296" i="9"/>
  <c r="AA137" i="9"/>
  <c r="Z32" i="9"/>
  <c r="AB542" i="9"/>
  <c r="AA534" i="9"/>
  <c r="U636" i="9"/>
  <c r="Z535" i="9"/>
  <c r="AB122" i="9"/>
  <c r="AB274" i="9"/>
  <c r="AB282" i="9"/>
  <c r="AB290" i="9"/>
  <c r="AB297" i="9"/>
  <c r="AB301" i="9"/>
  <c r="AB435" i="9"/>
  <c r="AB439" i="9"/>
  <c r="AB443" i="9"/>
  <c r="AB552" i="9"/>
  <c r="AB560" i="9"/>
  <c r="AB567" i="9"/>
  <c r="AB571" i="9"/>
  <c r="N32" i="9"/>
  <c r="N41" i="9"/>
  <c r="T120" i="9"/>
  <c r="N120" i="9" s="1"/>
  <c r="S120" i="9" s="1"/>
  <c r="AC120" i="9" s="1"/>
  <c r="Z120" i="9"/>
  <c r="T638" i="9"/>
  <c r="Z638" i="9"/>
  <c r="T640" i="9"/>
  <c r="Z640" i="9"/>
  <c r="T642" i="9"/>
  <c r="Z642" i="9"/>
  <c r="T644" i="9"/>
  <c r="Z644" i="9"/>
  <c r="T646" i="9"/>
  <c r="Z646" i="9"/>
  <c r="AB74" i="9"/>
  <c r="AB548" i="9"/>
  <c r="T648" i="9"/>
  <c r="N648" i="9" s="1"/>
  <c r="S648" i="9" s="1"/>
  <c r="AC648" i="9" s="1"/>
  <c r="Z648" i="9"/>
  <c r="T650" i="9"/>
  <c r="N650" i="9" s="1"/>
  <c r="S650" i="9" s="1"/>
  <c r="AC650" i="9" s="1"/>
  <c r="Z650" i="9"/>
  <c r="T652" i="9"/>
  <c r="N652" i="9" s="1"/>
  <c r="S652" i="9" s="1"/>
  <c r="AC652" i="9" s="1"/>
  <c r="Z652" i="9"/>
  <c r="T654" i="9"/>
  <c r="N654" i="9" s="1"/>
  <c r="S654" i="9" s="1"/>
  <c r="AC654" i="9" s="1"/>
  <c r="Z654" i="9"/>
  <c r="T656" i="9"/>
  <c r="N656" i="9" s="1"/>
  <c r="S656" i="9" s="1"/>
  <c r="AC656" i="9" s="1"/>
  <c r="Z656" i="9"/>
  <c r="T658" i="9"/>
  <c r="N658" i="9" s="1"/>
  <c r="S658" i="9" s="1"/>
  <c r="AC658" i="9" s="1"/>
  <c r="Z658" i="9"/>
  <c r="T660" i="9"/>
  <c r="N660" i="9" s="1"/>
  <c r="S660" i="9" s="1"/>
  <c r="AC660" i="9" s="1"/>
  <c r="Z660" i="9"/>
  <c r="T662" i="9"/>
  <c r="N662" i="9" s="1"/>
  <c r="S662" i="9" s="1"/>
  <c r="AC662" i="9" s="1"/>
  <c r="Z662" i="9"/>
  <c r="AB547" i="9"/>
  <c r="AB545" i="9"/>
  <c r="AB543" i="9"/>
  <c r="AB541" i="9"/>
  <c r="AB539" i="9"/>
  <c r="AB537" i="9"/>
  <c r="N365" i="9"/>
  <c r="S365" i="9" s="1"/>
  <c r="AC365" i="9" s="1"/>
  <c r="U534" i="9"/>
  <c r="Z365" i="9"/>
  <c r="AB268" i="9"/>
  <c r="AB266" i="9"/>
  <c r="AB264" i="9"/>
  <c r="AB262" i="9"/>
  <c r="AB260" i="9"/>
  <c r="AB258" i="9"/>
  <c r="AB256" i="9"/>
  <c r="AB254" i="9"/>
  <c r="AB252" i="9"/>
  <c r="AB250" i="9"/>
  <c r="AB248" i="9"/>
  <c r="AB246" i="9"/>
  <c r="AB90" i="9"/>
  <c r="S90" i="9"/>
  <c r="AC90" i="9" s="1"/>
  <c r="N138" i="9"/>
  <c r="U364" i="9"/>
  <c r="AB249" i="9"/>
  <c r="AB257" i="9"/>
  <c r="AB265" i="9"/>
  <c r="AB368" i="9"/>
  <c r="AB370" i="9"/>
  <c r="AB372" i="9"/>
  <c r="AB374" i="9"/>
  <c r="AB376" i="9"/>
  <c r="AB379" i="9"/>
  <c r="AB383" i="9"/>
  <c r="AB387" i="9"/>
  <c r="AB391" i="9"/>
  <c r="AB395" i="9"/>
  <c r="AB399" i="9"/>
  <c r="AB403" i="9"/>
  <c r="AB407" i="9"/>
  <c r="AB410" i="9"/>
  <c r="AB538" i="9"/>
  <c r="AB546" i="9"/>
  <c r="Z637" i="9"/>
  <c r="U855" i="9"/>
  <c r="T639" i="9"/>
  <c r="N639" i="9" s="1"/>
  <c r="S639" i="9" s="1"/>
  <c r="AC639" i="9" s="1"/>
  <c r="Z639" i="9"/>
  <c r="T641" i="9"/>
  <c r="N641" i="9" s="1"/>
  <c r="S641" i="9" s="1"/>
  <c r="AC641" i="9" s="1"/>
  <c r="Z641" i="9"/>
  <c r="T643" i="9"/>
  <c r="N643" i="9" s="1"/>
  <c r="S643" i="9" s="1"/>
  <c r="AC643" i="9" s="1"/>
  <c r="Z643" i="9"/>
  <c r="T645" i="9"/>
  <c r="N645" i="9" s="1"/>
  <c r="S645" i="9" s="1"/>
  <c r="AC645" i="9" s="1"/>
  <c r="Z645" i="9"/>
  <c r="T647" i="9"/>
  <c r="N647" i="9" s="1"/>
  <c r="S647" i="9" s="1"/>
  <c r="AC647" i="9" s="1"/>
  <c r="Z647" i="9"/>
  <c r="T649" i="9"/>
  <c r="N649" i="9" s="1"/>
  <c r="S649" i="9" s="1"/>
  <c r="AC649" i="9" s="1"/>
  <c r="Z649" i="9"/>
  <c r="T651" i="9"/>
  <c r="N651" i="9" s="1"/>
  <c r="S651" i="9" s="1"/>
  <c r="AC651" i="9" s="1"/>
  <c r="Z651" i="9"/>
  <c r="T653" i="9"/>
  <c r="N653" i="9" s="1"/>
  <c r="S653" i="9" s="1"/>
  <c r="AC653" i="9" s="1"/>
  <c r="Z653" i="9"/>
  <c r="T657" i="9"/>
  <c r="N657" i="9" s="1"/>
  <c r="S657" i="9" s="1"/>
  <c r="AC657" i="9" s="1"/>
  <c r="Z657" i="9"/>
  <c r="T659" i="9"/>
  <c r="N659" i="9" s="1"/>
  <c r="S659" i="9" s="1"/>
  <c r="AC659" i="9" s="1"/>
  <c r="Z659" i="9"/>
  <c r="T661" i="9"/>
  <c r="N661" i="9" s="1"/>
  <c r="S661" i="9" s="1"/>
  <c r="AC661" i="9" s="1"/>
  <c r="Z661" i="9"/>
  <c r="T9" i="9"/>
  <c r="AA1168" i="9"/>
  <c r="AB278" i="9"/>
  <c r="AB286" i="9"/>
  <c r="AB293" i="9"/>
  <c r="AB295" i="9"/>
  <c r="AB299" i="9"/>
  <c r="AB433" i="9"/>
  <c r="AB437" i="9"/>
  <c r="AB441" i="9"/>
  <c r="AB445" i="9"/>
  <c r="AB556" i="9"/>
  <c r="AB564" i="9"/>
  <c r="AB569" i="9"/>
  <c r="AB573" i="9"/>
  <c r="N66" i="9"/>
  <c r="S66" i="9" s="1"/>
  <c r="AC66" i="9" s="1"/>
  <c r="Z66" i="9"/>
  <c r="AB121" i="9"/>
  <c r="AB123" i="9"/>
  <c r="AB272" i="9"/>
  <c r="AB276" i="9"/>
  <c r="AB280" i="9"/>
  <c r="AB284" i="9"/>
  <c r="AB288" i="9"/>
  <c r="AB292" i="9"/>
  <c r="AB294" i="9"/>
  <c r="AB296" i="9"/>
  <c r="AB298" i="9"/>
  <c r="AB300" i="9"/>
  <c r="AB302" i="9"/>
  <c r="AB434" i="9"/>
  <c r="AB436" i="9"/>
  <c r="AB438" i="9"/>
  <c r="AB440" i="9"/>
  <c r="AB442" i="9"/>
  <c r="AB444" i="9"/>
  <c r="AB550" i="9"/>
  <c r="AB554" i="9"/>
  <c r="AB558" i="9"/>
  <c r="AB562" i="9"/>
  <c r="AB566" i="9"/>
  <c r="AB568" i="9"/>
  <c r="AB570" i="9"/>
  <c r="AB572" i="9"/>
  <c r="AB574" i="9"/>
  <c r="AB11" i="9"/>
  <c r="S11" i="9"/>
  <c r="AC11" i="9" s="1"/>
  <c r="AB33" i="9"/>
  <c r="S33" i="9"/>
  <c r="AC33" i="9" s="1"/>
  <c r="AC41" i="9" s="1"/>
  <c r="T270" i="9"/>
  <c r="Z270" i="9"/>
  <c r="T413" i="9"/>
  <c r="N413" i="9" s="1"/>
  <c r="S413" i="9" s="1"/>
  <c r="AC413" i="9" s="1"/>
  <c r="Z413" i="9"/>
  <c r="T415" i="9"/>
  <c r="N415" i="9" s="1"/>
  <c r="S415" i="9" s="1"/>
  <c r="AC415" i="9" s="1"/>
  <c r="Z415" i="9"/>
  <c r="T417" i="9"/>
  <c r="N417" i="9" s="1"/>
  <c r="S417" i="9" s="1"/>
  <c r="AC417" i="9" s="1"/>
  <c r="Z417" i="9"/>
  <c r="T419" i="9"/>
  <c r="N419" i="9" s="1"/>
  <c r="S419" i="9" s="1"/>
  <c r="AC419" i="9" s="1"/>
  <c r="Z419" i="9"/>
  <c r="T421" i="9"/>
  <c r="N421" i="9" s="1"/>
  <c r="S421" i="9" s="1"/>
  <c r="AC421" i="9" s="1"/>
  <c r="Z421" i="9"/>
  <c r="T423" i="9"/>
  <c r="N423" i="9" s="1"/>
  <c r="S423" i="9" s="1"/>
  <c r="AC423" i="9" s="1"/>
  <c r="Z423" i="9"/>
  <c r="T425" i="9"/>
  <c r="N425" i="9" s="1"/>
  <c r="S425" i="9" s="1"/>
  <c r="AC425" i="9" s="1"/>
  <c r="Z425" i="9"/>
  <c r="T427" i="9"/>
  <c r="N427" i="9" s="1"/>
  <c r="S427" i="9" s="1"/>
  <c r="AC427" i="9" s="1"/>
  <c r="Z427" i="9"/>
  <c r="T429" i="9"/>
  <c r="N429" i="9" s="1"/>
  <c r="S429" i="9" s="1"/>
  <c r="AC429" i="9" s="1"/>
  <c r="Z429" i="9"/>
  <c r="T431" i="9"/>
  <c r="N431" i="9" s="1"/>
  <c r="S431" i="9" s="1"/>
  <c r="AC431" i="9" s="1"/>
  <c r="Z431" i="9"/>
  <c r="T271" i="9"/>
  <c r="N271" i="9" s="1"/>
  <c r="S271" i="9" s="1"/>
  <c r="AC271" i="9" s="1"/>
  <c r="Z271" i="9"/>
  <c r="T273" i="9"/>
  <c r="N273" i="9" s="1"/>
  <c r="S273" i="9" s="1"/>
  <c r="AC273" i="9" s="1"/>
  <c r="Z273" i="9"/>
  <c r="T275" i="9"/>
  <c r="N275" i="9" s="1"/>
  <c r="S275" i="9" s="1"/>
  <c r="AC275" i="9" s="1"/>
  <c r="Z275" i="9"/>
  <c r="T277" i="9"/>
  <c r="N277" i="9" s="1"/>
  <c r="S277" i="9" s="1"/>
  <c r="AC277" i="9" s="1"/>
  <c r="Z277" i="9"/>
  <c r="T279" i="9"/>
  <c r="N279" i="9" s="1"/>
  <c r="S279" i="9" s="1"/>
  <c r="AC279" i="9" s="1"/>
  <c r="Z279" i="9"/>
  <c r="T281" i="9"/>
  <c r="N281" i="9" s="1"/>
  <c r="S281" i="9" s="1"/>
  <c r="AC281" i="9" s="1"/>
  <c r="Z281" i="9"/>
  <c r="T283" i="9"/>
  <c r="N283" i="9" s="1"/>
  <c r="S283" i="9" s="1"/>
  <c r="AC283" i="9" s="1"/>
  <c r="Z283" i="9"/>
  <c r="T285" i="9"/>
  <c r="N285" i="9" s="1"/>
  <c r="S285" i="9" s="1"/>
  <c r="AC285" i="9" s="1"/>
  <c r="Z285" i="9"/>
  <c r="T287" i="9"/>
  <c r="N287" i="9" s="1"/>
  <c r="S287" i="9" s="1"/>
  <c r="AC287" i="9" s="1"/>
  <c r="Z287" i="9"/>
  <c r="T289" i="9"/>
  <c r="N289" i="9" s="1"/>
  <c r="S289" i="9" s="1"/>
  <c r="AC289" i="9" s="1"/>
  <c r="Z289" i="9"/>
  <c r="T291" i="9"/>
  <c r="N291" i="9" s="1"/>
  <c r="S291" i="9" s="1"/>
  <c r="AC291" i="9" s="1"/>
  <c r="Z291" i="9"/>
  <c r="T549" i="9"/>
  <c r="N549" i="9" s="1"/>
  <c r="S549" i="9" s="1"/>
  <c r="AC549" i="9" s="1"/>
  <c r="Z549" i="9"/>
  <c r="T551" i="9"/>
  <c r="N551" i="9" s="1"/>
  <c r="S551" i="9" s="1"/>
  <c r="AC551" i="9" s="1"/>
  <c r="Z551" i="9"/>
  <c r="T553" i="9"/>
  <c r="N553" i="9" s="1"/>
  <c r="S553" i="9" s="1"/>
  <c r="AC553" i="9" s="1"/>
  <c r="Z553" i="9"/>
  <c r="T555" i="9"/>
  <c r="N555" i="9" s="1"/>
  <c r="S555" i="9" s="1"/>
  <c r="AC555" i="9" s="1"/>
  <c r="Z555" i="9"/>
  <c r="T557" i="9"/>
  <c r="N557" i="9" s="1"/>
  <c r="S557" i="9" s="1"/>
  <c r="AC557" i="9" s="1"/>
  <c r="Z557" i="9"/>
  <c r="T559" i="9"/>
  <c r="N559" i="9" s="1"/>
  <c r="S559" i="9" s="1"/>
  <c r="AC559" i="9" s="1"/>
  <c r="Z559" i="9"/>
  <c r="T561" i="9"/>
  <c r="N561" i="9" s="1"/>
  <c r="S561" i="9" s="1"/>
  <c r="AC561" i="9" s="1"/>
  <c r="Z561" i="9"/>
  <c r="T563" i="9"/>
  <c r="N563" i="9" s="1"/>
  <c r="S563" i="9" s="1"/>
  <c r="AC563" i="9" s="1"/>
  <c r="Z563" i="9"/>
  <c r="T565" i="9"/>
  <c r="N565" i="9" s="1"/>
  <c r="S565" i="9" s="1"/>
  <c r="AC565" i="9" s="1"/>
  <c r="Z565" i="9"/>
  <c r="T412" i="9"/>
  <c r="N412" i="9" s="1"/>
  <c r="S412" i="9" s="1"/>
  <c r="AC412" i="9" s="1"/>
  <c r="Z412" i="9"/>
  <c r="T414" i="9"/>
  <c r="N414" i="9" s="1"/>
  <c r="S414" i="9" s="1"/>
  <c r="AC414" i="9" s="1"/>
  <c r="Z414" i="9"/>
  <c r="T416" i="9"/>
  <c r="N416" i="9" s="1"/>
  <c r="S416" i="9" s="1"/>
  <c r="AC416" i="9" s="1"/>
  <c r="Z416" i="9"/>
  <c r="T418" i="9"/>
  <c r="N418" i="9" s="1"/>
  <c r="S418" i="9" s="1"/>
  <c r="AC418" i="9" s="1"/>
  <c r="Z418" i="9"/>
  <c r="T420" i="9"/>
  <c r="N420" i="9" s="1"/>
  <c r="S420" i="9" s="1"/>
  <c r="AC420" i="9" s="1"/>
  <c r="Z420" i="9"/>
  <c r="T422" i="9"/>
  <c r="N422" i="9" s="1"/>
  <c r="S422" i="9" s="1"/>
  <c r="AC422" i="9" s="1"/>
  <c r="Z422" i="9"/>
  <c r="T424" i="9"/>
  <c r="N424" i="9" s="1"/>
  <c r="S424" i="9" s="1"/>
  <c r="AC424" i="9" s="1"/>
  <c r="Z424" i="9"/>
  <c r="T426" i="9"/>
  <c r="N426" i="9" s="1"/>
  <c r="S426" i="9" s="1"/>
  <c r="AC426" i="9" s="1"/>
  <c r="Z426" i="9"/>
  <c r="T428" i="9"/>
  <c r="N428" i="9" s="1"/>
  <c r="S428" i="9" s="1"/>
  <c r="AC428" i="9" s="1"/>
  <c r="Z428" i="9"/>
  <c r="T430" i="9"/>
  <c r="N430" i="9" s="1"/>
  <c r="S430" i="9" s="1"/>
  <c r="AC430" i="9" s="1"/>
  <c r="Z430" i="9"/>
  <c r="T432" i="9"/>
  <c r="N432" i="9" s="1"/>
  <c r="S432" i="9" s="1"/>
  <c r="AC432" i="9" s="1"/>
  <c r="Z432" i="9"/>
  <c r="T655" i="9"/>
  <c r="N655" i="9" s="1"/>
  <c r="S655" i="9" s="1"/>
  <c r="AC655" i="9" s="1"/>
  <c r="Z655" i="9"/>
  <c r="AB76" i="9"/>
  <c r="AB544" i="9"/>
  <c r="AB540" i="9"/>
  <c r="AB536" i="9"/>
  <c r="AB408" i="9"/>
  <c r="AB406" i="9"/>
  <c r="AB404" i="9"/>
  <c r="AB402" i="9"/>
  <c r="AB400" i="9"/>
  <c r="AB398" i="9"/>
  <c r="AB396" i="9"/>
  <c r="AB394" i="9"/>
  <c r="AB392" i="9"/>
  <c r="AB390" i="9"/>
  <c r="AB388" i="9"/>
  <c r="AB386" i="9"/>
  <c r="AB384" i="9"/>
  <c r="AB382" i="9"/>
  <c r="AB380" i="9"/>
  <c r="AB267" i="9"/>
  <c r="AB263" i="9"/>
  <c r="AB259" i="9"/>
  <c r="AB255" i="9"/>
  <c r="AB251" i="9"/>
  <c r="AB247" i="9"/>
  <c r="T22" i="9"/>
  <c r="AB10" i="9"/>
  <c r="S10" i="9"/>
  <c r="AC10" i="9" s="1"/>
  <c r="AC22" i="9" s="1"/>
  <c r="AB23" i="9"/>
  <c r="S23" i="9"/>
  <c r="AC23" i="9" s="1"/>
  <c r="AC32" i="9" s="1"/>
  <c r="T89" i="9"/>
  <c r="AB42" i="9"/>
  <c r="S42" i="9"/>
  <c r="T119" i="9"/>
  <c r="N119" i="9" s="1"/>
  <c r="S119" i="9" s="1"/>
  <c r="AC119" i="9" s="1"/>
  <c r="Z119" i="9"/>
  <c r="Z137" i="9" s="1"/>
  <c r="AB245" i="9"/>
  <c r="AB253" i="9"/>
  <c r="AB261" i="9"/>
  <c r="AB269" i="9"/>
  <c r="AB369" i="9"/>
  <c r="AB373" i="9"/>
  <c r="AB375" i="9"/>
  <c r="AB377" i="9"/>
  <c r="AB381" i="9"/>
  <c r="AB385" i="9"/>
  <c r="AB389" i="9"/>
  <c r="AB393" i="9"/>
  <c r="AB397" i="9"/>
  <c r="AB401" i="9"/>
  <c r="AB405" i="9"/>
  <c r="AB409" i="9"/>
  <c r="AB411" i="9"/>
  <c r="S1282" i="9"/>
  <c r="S1017" i="9"/>
  <c r="AB1017" i="9"/>
  <c r="Z41" i="9"/>
  <c r="Z22" i="9"/>
  <c r="T636" i="9"/>
  <c r="R9" i="9"/>
  <c r="R1296" i="9" s="1"/>
  <c r="U137" i="9"/>
  <c r="AB1168" i="9"/>
  <c r="L58" i="21"/>
  <c r="D7" i="7" s="1"/>
  <c r="D9" i="7" s="1"/>
  <c r="Q58" i="21"/>
  <c r="AA1169" i="9"/>
  <c r="AA1282" i="9" s="1"/>
  <c r="I1296" i="9"/>
  <c r="N72" i="9"/>
  <c r="U72" i="9"/>
  <c r="Z72" i="9" s="1"/>
  <c r="N6" i="9"/>
  <c r="S6" i="9" s="1"/>
  <c r="AC6" i="9" s="1"/>
  <c r="AC9" i="9" s="1"/>
  <c r="AB637" i="9"/>
  <c r="N71" i="9"/>
  <c r="AA71" i="9"/>
  <c r="U71" i="9"/>
  <c r="Z71" i="9" s="1"/>
  <c r="N73" i="9"/>
  <c r="AA73" i="9"/>
  <c r="U73" i="9"/>
  <c r="Z73" i="9" s="1"/>
  <c r="N75" i="9"/>
  <c r="AA75" i="9"/>
  <c r="U75" i="9"/>
  <c r="Z75" i="9" s="1"/>
  <c r="AB41" i="9"/>
  <c r="N535" i="9"/>
  <c r="S535" i="9" s="1"/>
  <c r="AC535" i="9" s="1"/>
  <c r="AC636" i="9" s="1"/>
  <c r="N378" i="9"/>
  <c r="S378" i="9" s="1"/>
  <c r="AC378" i="9" s="1"/>
  <c r="N200" i="9"/>
  <c r="S200" i="9" s="1"/>
  <c r="AC200" i="9" s="1"/>
  <c r="N109" i="9"/>
  <c r="S109" i="9" s="1"/>
  <c r="AC109" i="9" s="1"/>
  <c r="N56" i="9"/>
  <c r="S56" i="9" s="1"/>
  <c r="AC56" i="9" s="1"/>
  <c r="S75" i="9" l="1"/>
  <c r="AC75" i="9" s="1"/>
  <c r="S73" i="9"/>
  <c r="AC73" i="9" s="1"/>
  <c r="S71" i="9"/>
  <c r="AC71" i="9" s="1"/>
  <c r="S72" i="9"/>
  <c r="AC72" i="9" s="1"/>
  <c r="Z42" i="9"/>
  <c r="AC42" i="9"/>
  <c r="AC137" i="9"/>
  <c r="AC534" i="9"/>
  <c r="S76" i="9"/>
  <c r="AC76" i="9" s="1"/>
  <c r="S74" i="9"/>
  <c r="AC74" i="9" s="1"/>
  <c r="H9" i="7"/>
  <c r="G7" i="7"/>
  <c r="G9" i="7" s="1"/>
  <c r="AB22" i="9"/>
  <c r="AB32" i="9"/>
  <c r="T534" i="9"/>
  <c r="N636" i="9"/>
  <c r="AB75" i="9"/>
  <c r="AB71" i="9"/>
  <c r="AB119" i="9"/>
  <c r="N89" i="9"/>
  <c r="N22" i="9"/>
  <c r="S22" i="9"/>
  <c r="AB655" i="9"/>
  <c r="AB432" i="9"/>
  <c r="AB430" i="9"/>
  <c r="AB428" i="9"/>
  <c r="AB426" i="9"/>
  <c r="AB424" i="9"/>
  <c r="AB422" i="9"/>
  <c r="AB420" i="9"/>
  <c r="AB418" i="9"/>
  <c r="AB416" i="9"/>
  <c r="AB414" i="9"/>
  <c r="AB412" i="9"/>
  <c r="AB565" i="9"/>
  <c r="AB563" i="9"/>
  <c r="AB561" i="9"/>
  <c r="AB559" i="9"/>
  <c r="AB557" i="9"/>
  <c r="AB555" i="9"/>
  <c r="AB553" i="9"/>
  <c r="AB551" i="9"/>
  <c r="AB549" i="9"/>
  <c r="AB291" i="9"/>
  <c r="AB289" i="9"/>
  <c r="AB287" i="9"/>
  <c r="AB285" i="9"/>
  <c r="AB283" i="9"/>
  <c r="AB281" i="9"/>
  <c r="AB279" i="9"/>
  <c r="AB277" i="9"/>
  <c r="AB275" i="9"/>
  <c r="AB273" i="9"/>
  <c r="AB271" i="9"/>
  <c r="AB431" i="9"/>
  <c r="AB429" i="9"/>
  <c r="AB427" i="9"/>
  <c r="AB425" i="9"/>
  <c r="AB423" i="9"/>
  <c r="AB421" i="9"/>
  <c r="AB419" i="9"/>
  <c r="AB417" i="9"/>
  <c r="AB415" i="9"/>
  <c r="AB413" i="9"/>
  <c r="T364" i="9"/>
  <c r="N270" i="9"/>
  <c r="S270" i="9" s="1"/>
  <c r="AC270" i="9" s="1"/>
  <c r="AB66" i="9"/>
  <c r="AB661" i="9"/>
  <c r="AB659" i="9"/>
  <c r="AB657" i="9"/>
  <c r="AB653" i="9"/>
  <c r="AB651" i="9"/>
  <c r="AB649" i="9"/>
  <c r="AB647" i="9"/>
  <c r="AB645" i="9"/>
  <c r="AB643" i="9"/>
  <c r="AB641" i="9"/>
  <c r="AB639" i="9"/>
  <c r="AB138" i="9"/>
  <c r="N364" i="9"/>
  <c r="S138" i="9"/>
  <c r="AC138" i="9" s="1"/>
  <c r="AC364" i="9" s="1"/>
  <c r="N137" i="9"/>
  <c r="N9" i="9"/>
  <c r="T855" i="9"/>
  <c r="Z855" i="9"/>
  <c r="S41" i="9"/>
  <c r="S32" i="9"/>
  <c r="Z636" i="9"/>
  <c r="AB73" i="9"/>
  <c r="AB72" i="9"/>
  <c r="AB365" i="9"/>
  <c r="N534" i="9"/>
  <c r="S534" i="9"/>
  <c r="AB662" i="9"/>
  <c r="AB660" i="9"/>
  <c r="AB658" i="9"/>
  <c r="AB656" i="9"/>
  <c r="AB654" i="9"/>
  <c r="AB652" i="9"/>
  <c r="AB650" i="9"/>
  <c r="AB648" i="9"/>
  <c r="N646" i="9"/>
  <c r="S646" i="9" s="1"/>
  <c r="AC646" i="9" s="1"/>
  <c r="N644" i="9"/>
  <c r="S644" i="9" s="1"/>
  <c r="AC644" i="9" s="1"/>
  <c r="N642" i="9"/>
  <c r="S642" i="9" s="1"/>
  <c r="AC642" i="9" s="1"/>
  <c r="N640" i="9"/>
  <c r="S640" i="9" s="1"/>
  <c r="AC640" i="9" s="1"/>
  <c r="N638" i="9"/>
  <c r="AB120" i="9"/>
  <c r="AA89" i="9"/>
  <c r="S9" i="9"/>
  <c r="U89" i="9"/>
  <c r="T137" i="9"/>
  <c r="Z534" i="9"/>
  <c r="AB535" i="9"/>
  <c r="AB378" i="9"/>
  <c r="AB200" i="9"/>
  <c r="AB109" i="9"/>
  <c r="AB56" i="9"/>
  <c r="AB740" i="9"/>
  <c r="AA740" i="9" s="1"/>
  <c r="AB754" i="9"/>
  <c r="AA754" i="9" s="1"/>
  <c r="AB747" i="9"/>
  <c r="AA747" i="9" s="1"/>
  <c r="AB706" i="9"/>
  <c r="AA706" i="9" s="1"/>
  <c r="AB713" i="9"/>
  <c r="AA713" i="9" s="1"/>
  <c r="AB748" i="9"/>
  <c r="AA748" i="9" s="1"/>
  <c r="AB742" i="9"/>
  <c r="AA742" i="9" s="1"/>
  <c r="AB708" i="9"/>
  <c r="AA708" i="9" s="1"/>
  <c r="M740" i="9"/>
  <c r="M710" i="9"/>
  <c r="AB710" i="9"/>
  <c r="AA710" i="9" s="1"/>
  <c r="AB721" i="9"/>
  <c r="AA721" i="9" s="1"/>
  <c r="M721" i="9"/>
  <c r="M754" i="9"/>
  <c r="M736" i="9"/>
  <c r="AB736" i="9"/>
  <c r="AA736" i="9" s="1"/>
  <c r="AB755" i="9"/>
  <c r="AA755" i="9" s="1"/>
  <c r="M755" i="9"/>
  <c r="M730" i="9"/>
  <c r="AB730" i="9"/>
  <c r="AA730" i="9" s="1"/>
  <c r="AB704" i="9"/>
  <c r="AA704" i="9" s="1"/>
  <c r="M704" i="9"/>
  <c r="M747" i="9"/>
  <c r="M746" i="9"/>
  <c r="AB746" i="9"/>
  <c r="AA746" i="9" s="1"/>
  <c r="M706" i="9"/>
  <c r="M718" i="9"/>
  <c r="AB718" i="9"/>
  <c r="AA718" i="9" s="1"/>
  <c r="M732" i="9"/>
  <c r="AB732" i="9"/>
  <c r="AA732" i="9" s="1"/>
  <c r="M737" i="9"/>
  <c r="AB737" i="9"/>
  <c r="AA737" i="9" s="1"/>
  <c r="M727" i="9"/>
  <c r="AB727" i="9"/>
  <c r="AA727" i="9" s="1"/>
  <c r="M713" i="9"/>
  <c r="M701" i="9"/>
  <c r="AB701" i="9"/>
  <c r="AA701" i="9" s="1"/>
  <c r="M748" i="9"/>
  <c r="AB720" i="9"/>
  <c r="AA720" i="9" s="1"/>
  <c r="M720" i="9"/>
  <c r="M728" i="9"/>
  <c r="AB728" i="9"/>
  <c r="AA728" i="9" s="1"/>
  <c r="AB739" i="9"/>
  <c r="AA739" i="9" s="1"/>
  <c r="M739" i="9"/>
  <c r="M742" i="9"/>
  <c r="M708" i="9"/>
  <c r="M716" i="9"/>
  <c r="AB716" i="9"/>
  <c r="AA716" i="9" s="1"/>
  <c r="M734" i="9"/>
  <c r="AB734" i="9"/>
  <c r="AA734" i="9" s="1"/>
  <c r="M751" i="9"/>
  <c r="AB751" i="9"/>
  <c r="AA751" i="9" s="1"/>
  <c r="AB743" i="9"/>
  <c r="AA743" i="9" s="1"/>
  <c r="M743" i="9"/>
  <c r="AB735" i="9"/>
  <c r="AA735" i="9" s="1"/>
  <c r="M735" i="9"/>
  <c r="M725" i="9"/>
  <c r="AB725" i="9"/>
  <c r="AA725" i="9" s="1"/>
  <c r="M717" i="9"/>
  <c r="AB717" i="9"/>
  <c r="AA717" i="9" s="1"/>
  <c r="AB709" i="9"/>
  <c r="AA709" i="9" s="1"/>
  <c r="M709" i="9"/>
  <c r="M699" i="9"/>
  <c r="AB744" i="9"/>
  <c r="AA744" i="9" s="1"/>
  <c r="M744" i="9"/>
  <c r="M750" i="9"/>
  <c r="AB750" i="9"/>
  <c r="AA750" i="9" s="1"/>
  <c r="M715" i="9"/>
  <c r="AB715" i="9"/>
  <c r="AA715" i="9" s="1"/>
  <c r="M726" i="9"/>
  <c r="AB726" i="9"/>
  <c r="AA726" i="9" s="1"/>
  <c r="M738" i="9"/>
  <c r="AB738" i="9"/>
  <c r="AA738" i="9" s="1"/>
  <c r="M753" i="9"/>
  <c r="AB753" i="9"/>
  <c r="AA753" i="9" s="1"/>
  <c r="M745" i="9"/>
  <c r="AB745" i="9"/>
  <c r="AA745" i="9" s="1"/>
  <c r="M733" i="9"/>
  <c r="AB733" i="9"/>
  <c r="AA733" i="9" s="1"/>
  <c r="M705" i="9"/>
  <c r="AB705" i="9"/>
  <c r="AA705" i="9" s="1"/>
  <c r="M712" i="9"/>
  <c r="AB712" i="9"/>
  <c r="AA712" i="9" s="1"/>
  <c r="M731" i="9"/>
  <c r="AB731" i="9"/>
  <c r="AA731" i="9" s="1"/>
  <c r="M723" i="9"/>
  <c r="AB723" i="9"/>
  <c r="AA723" i="9" s="1"/>
  <c r="M707" i="9"/>
  <c r="AB707" i="9"/>
  <c r="AA707" i="9" s="1"/>
  <c r="M702" i="9"/>
  <c r="AB702" i="9"/>
  <c r="AA702" i="9" s="1"/>
  <c r="M714" i="9"/>
  <c r="AB714" i="9"/>
  <c r="AA714" i="9" s="1"/>
  <c r="M722" i="9"/>
  <c r="AB722" i="9"/>
  <c r="AA722" i="9" s="1"/>
  <c r="M724" i="9"/>
  <c r="AB724" i="9"/>
  <c r="AA724" i="9" s="1"/>
  <c r="M757" i="9"/>
  <c r="AB757" i="9"/>
  <c r="AA757" i="9" s="1"/>
  <c r="M749" i="9"/>
  <c r="AB749" i="9"/>
  <c r="AA749" i="9" s="1"/>
  <c r="M741" i="9"/>
  <c r="AB741" i="9"/>
  <c r="AA741" i="9" s="1"/>
  <c r="M729" i="9"/>
  <c r="AB729" i="9"/>
  <c r="AA729" i="9" s="1"/>
  <c r="M719" i="9"/>
  <c r="AB719" i="9"/>
  <c r="AA719" i="9" s="1"/>
  <c r="M711" i="9"/>
  <c r="AB711" i="9"/>
  <c r="AA711" i="9" s="1"/>
  <c r="M703" i="9"/>
  <c r="AB703" i="9"/>
  <c r="AA703" i="9" s="1"/>
  <c r="M756" i="9"/>
  <c r="AB756" i="9"/>
  <c r="AA756" i="9" s="1"/>
  <c r="M752" i="9"/>
  <c r="AB752" i="9"/>
  <c r="AA752" i="9" s="1"/>
  <c r="M700" i="9"/>
  <c r="AB700" i="9"/>
  <c r="AB638" i="9" l="1"/>
  <c r="S638" i="9"/>
  <c r="AC638" i="9" s="1"/>
  <c r="AC855" i="9" s="1"/>
  <c r="AC89" i="9"/>
  <c r="AB636" i="9"/>
  <c r="U1296" i="9"/>
  <c r="T1296" i="9"/>
  <c r="AB640" i="9"/>
  <c r="AB642" i="9"/>
  <c r="AB644" i="9"/>
  <c r="AB646" i="9"/>
  <c r="N855" i="9"/>
  <c r="N1296" i="9" s="1"/>
  <c r="AB270" i="9"/>
  <c r="S364" i="9"/>
  <c r="AB534" i="9"/>
  <c r="S137" i="9"/>
  <c r="AB137" i="9"/>
  <c r="AB89" i="9"/>
  <c r="Z138" i="9"/>
  <c r="Z364" i="9" s="1"/>
  <c r="S89" i="9"/>
  <c r="Z89" i="9"/>
  <c r="AB364" i="9"/>
  <c r="S636" i="9"/>
  <c r="AA700" i="9"/>
  <c r="AA855" i="9" s="1"/>
  <c r="M698" i="9"/>
  <c r="M855" i="9" s="1"/>
  <c r="M1296" i="9" s="1"/>
  <c r="S855" i="9"/>
  <c r="E12" i="7" l="1"/>
  <c r="E35" i="7" s="1"/>
  <c r="AC1296" i="9"/>
  <c r="H12" i="7" s="1"/>
  <c r="Z1296" i="9"/>
  <c r="F12" i="7" s="1"/>
  <c r="F35" i="7" s="1"/>
  <c r="S1296" i="9"/>
  <c r="D12" i="7" s="1"/>
  <c r="AA1296" i="9"/>
  <c r="AB855" i="9"/>
  <c r="D35" i="7"/>
  <c r="AB1296" i="9"/>
  <c r="G12" i="7" s="1"/>
  <c r="G35" i="7" l="1"/>
  <c r="H35" i="7"/>
</calcChain>
</file>

<file path=xl/sharedStrings.xml><?xml version="1.0" encoding="utf-8"?>
<sst xmlns="http://schemas.openxmlformats.org/spreadsheetml/2006/main" count="3308" uniqueCount="847">
  <si>
    <t>2007-08</t>
  </si>
  <si>
    <t>13.03.2012</t>
  </si>
  <si>
    <t>2003-04</t>
  </si>
  <si>
    <t>12.06.2013</t>
  </si>
  <si>
    <t>1450/19.08.2003</t>
  </si>
  <si>
    <t>25.08.2003</t>
  </si>
  <si>
    <t>25.08.2015</t>
  </si>
  <si>
    <t>1606/08.10.2003</t>
  </si>
  <si>
    <t>13.10.2003</t>
  </si>
  <si>
    <t>13.10.2015</t>
  </si>
  <si>
    <t>37/14.01.2004</t>
  </si>
  <si>
    <t>21.01.2004</t>
  </si>
  <si>
    <t>21.01.2017</t>
  </si>
  <si>
    <t>176/12.02.2004</t>
  </si>
  <si>
    <t>21.02.2004</t>
  </si>
  <si>
    <t>21.02.2015</t>
  </si>
  <si>
    <t>2004-05</t>
  </si>
  <si>
    <t>3255/13.01.2004</t>
  </si>
  <si>
    <t>23.04.2004</t>
  </si>
  <si>
    <t>23.04.2014</t>
  </si>
  <si>
    <t>5435/19.05.2004</t>
  </si>
  <si>
    <t>28.05.2004</t>
  </si>
  <si>
    <t>28.05.2014</t>
  </si>
  <si>
    <t xml:space="preserve">151/2004-790 DT.28.10.04   </t>
  </si>
  <si>
    <t>04.11.2004</t>
  </si>
  <si>
    <t>04.11.2014</t>
  </si>
  <si>
    <t>WM-165/2004/880 DT.-06.12.2004</t>
  </si>
  <si>
    <t>10.12.2004</t>
  </si>
  <si>
    <t>10.12.2014</t>
  </si>
  <si>
    <t>WM-06/2004/05 DT.-07.01.2005</t>
  </si>
  <si>
    <t>13.01.2005</t>
  </si>
  <si>
    <t>13.01.2015</t>
  </si>
  <si>
    <t>24.02.2005</t>
  </si>
  <si>
    <t>24.02.2017</t>
  </si>
  <si>
    <t>2005-06</t>
  </si>
  <si>
    <t>WM-57/2005-291F dt.-13.05.2005</t>
  </si>
  <si>
    <t>29.05.2005</t>
  </si>
  <si>
    <t>29.05.2015</t>
  </si>
  <si>
    <t>WM-57/2005-349F dt.-10.06.2005</t>
  </si>
  <si>
    <t>15.06.2005</t>
  </si>
  <si>
    <t>15.06.2015</t>
  </si>
  <si>
    <t>F5/1/NSII/99-2000</t>
  </si>
  <si>
    <t>F5/1/99-NS-I-1.10.2000</t>
  </si>
  <si>
    <t>F5/1/99-NS-I-1.10.2001</t>
  </si>
  <si>
    <t>F5/1/99-NS-I-1.10.2002</t>
  </si>
  <si>
    <t xml:space="preserve">F5/1/99-NS-I-1.10.2003 </t>
  </si>
  <si>
    <t>F5/1/99-NS-I</t>
  </si>
  <si>
    <t xml:space="preserve">2005-2006 </t>
  </si>
  <si>
    <t>(8.5%) Power Bond  (Interest Payble from 1.10.2001)</t>
  </si>
  <si>
    <t>15.09.2003</t>
  </si>
  <si>
    <t>31.12.2005</t>
  </si>
  <si>
    <t>cktkj _.k</t>
  </si>
  <si>
    <t>o"kZ</t>
  </si>
  <si>
    <t>C;kt ns; _.k</t>
  </si>
  <si>
    <t>fuxZe dh frfFk</t>
  </si>
  <si>
    <t>lwn Hkqxrku dh frfFk</t>
  </si>
  <si>
    <t>_.k Hkqxrku dh frfFk</t>
  </si>
  <si>
    <t>_.k dh jkf'k ¼jkT; foHkktu ds ckn½</t>
  </si>
  <si>
    <t xml:space="preserve">_.k dh jkf'k </t>
  </si>
  <si>
    <r>
      <t>C;kt dh nj ¼</t>
    </r>
    <r>
      <rPr>
        <b/>
        <sz val="10"/>
        <rFont val="Tahoma"/>
        <family val="2"/>
      </rPr>
      <t>%</t>
    </r>
    <r>
      <rPr>
        <b/>
        <sz val="14"/>
        <rFont val="Richa"/>
      </rPr>
      <t>½</t>
    </r>
  </si>
  <si>
    <t>vo'ks"k</t>
  </si>
  <si>
    <t>ewy/ku dh okilh</t>
  </si>
  <si>
    <t>C;kt dh okilh</t>
  </si>
  <si>
    <r>
      <t xml:space="preserve">11.50% </t>
    </r>
    <r>
      <rPr>
        <sz val="14"/>
        <rFont val="Richa"/>
      </rPr>
      <t>fcgkj jkT; fodkl _.k 2009</t>
    </r>
  </si>
  <si>
    <r>
      <t xml:space="preserve">11.50% </t>
    </r>
    <r>
      <rPr>
        <sz val="14"/>
        <rFont val="Richa"/>
      </rPr>
      <t>fcgkj jkT; fodkl _.k 2011</t>
    </r>
  </si>
  <si>
    <t>Kkikad@frfFk</t>
  </si>
  <si>
    <r>
      <t xml:space="preserve">6.20% </t>
    </r>
    <r>
      <rPr>
        <sz val="14"/>
        <rFont val="Richa"/>
      </rPr>
      <t>fcgkj jkT; fodkl _.k 2015</t>
    </r>
  </si>
  <si>
    <r>
      <t xml:space="preserve">5.85% </t>
    </r>
    <r>
      <rPr>
        <sz val="14"/>
        <rFont val="Richa"/>
      </rPr>
      <t>fcgkj jkT; fodkl _.k 2015</t>
    </r>
  </si>
  <si>
    <r>
      <t xml:space="preserve">5.90% </t>
    </r>
    <r>
      <rPr>
        <sz val="14"/>
        <rFont val="Richa"/>
      </rPr>
      <t>fcgkj jkT; fodkl _.k 2017</t>
    </r>
  </si>
  <si>
    <r>
      <t xml:space="preserve">5.85% </t>
    </r>
    <r>
      <rPr>
        <sz val="14"/>
        <rFont val="Richa"/>
      </rPr>
      <t>fcgkj jkT; fodkl _.k 2015 ¼f}rh; J`[kyk½</t>
    </r>
  </si>
  <si>
    <r>
      <t xml:space="preserve">5.60% </t>
    </r>
    <r>
      <rPr>
        <sz val="14"/>
        <rFont val="Richa"/>
      </rPr>
      <t>fcgkj jkT; fodkl _.k 2014</t>
    </r>
  </si>
  <si>
    <r>
      <t xml:space="preserve">5.70% </t>
    </r>
    <r>
      <rPr>
        <sz val="14"/>
        <rFont val="Richa"/>
      </rPr>
      <t>fcgkj jkT; fodkl _.k 2014</t>
    </r>
  </si>
  <si>
    <r>
      <t xml:space="preserve">7.36% </t>
    </r>
    <r>
      <rPr>
        <sz val="14"/>
        <rFont val="Richa"/>
      </rPr>
      <t>fcgkj jkT; fodkl _.k 2014</t>
    </r>
  </si>
  <si>
    <r>
      <t xml:space="preserve">7.32% </t>
    </r>
    <r>
      <rPr>
        <sz val="14"/>
        <rFont val="Richa"/>
      </rPr>
      <t>fcgkj jkT; fodkl _.k 2014</t>
    </r>
  </si>
  <si>
    <r>
      <t xml:space="preserve">7.02% </t>
    </r>
    <r>
      <rPr>
        <sz val="14"/>
        <rFont val="Richa"/>
      </rPr>
      <t>fcgkj jkT; fodkl _.k 2015</t>
    </r>
  </si>
  <si>
    <r>
      <t xml:space="preserve">7.17% </t>
    </r>
    <r>
      <rPr>
        <sz val="14"/>
        <rFont val="Richa"/>
      </rPr>
      <t>fcgkj jkT; fodkl _.k 2017</t>
    </r>
  </si>
  <si>
    <r>
      <t xml:space="preserve">7.77% </t>
    </r>
    <r>
      <rPr>
        <sz val="14"/>
        <rFont val="Richa"/>
      </rPr>
      <t>fcgkj jkT; fodkl _.k 2015</t>
    </r>
  </si>
  <si>
    <r>
      <t xml:space="preserve">7.39% </t>
    </r>
    <r>
      <rPr>
        <sz val="14"/>
        <rFont val="Richa"/>
      </rPr>
      <t>fcgkj jkT; fodkl _.k 2015 ¼fuykeh½</t>
    </r>
  </si>
  <si>
    <t>23 vDVqcj@vizSy</t>
  </si>
  <si>
    <t>25 vxLr@Qjojh</t>
  </si>
  <si>
    <t>25 Qjojh@vxLr</t>
  </si>
  <si>
    <t>13 vizSy@vDVqcj</t>
  </si>
  <si>
    <t>21 tqykbZ@tuojh</t>
  </si>
  <si>
    <t>21 vxLr@Qjojh</t>
  </si>
  <si>
    <t>28 uoEcj@ebZ</t>
  </si>
  <si>
    <t>04 ebZ@uoEcj</t>
  </si>
  <si>
    <t>10 twu@fnlEcj</t>
  </si>
  <si>
    <t>13 tqykbZ@tuojh</t>
  </si>
  <si>
    <t>24 vxLr@Qjojh</t>
  </si>
  <si>
    <t>29 uoEcj@ebZ</t>
  </si>
  <si>
    <t>15 fnlEcj@twu</t>
  </si>
  <si>
    <t>fcgkj tehankjh&amp;mUewyu {kfriwjd ca/k&amp;i=</t>
  </si>
  <si>
    <r>
      <t>C;kt nj ¼</t>
    </r>
    <r>
      <rPr>
        <b/>
        <sz val="11"/>
        <rFont val="Times"/>
        <family val="1"/>
      </rPr>
      <t>%</t>
    </r>
    <r>
      <rPr>
        <b/>
        <sz val="14"/>
        <rFont val="Richa"/>
      </rPr>
      <t>½</t>
    </r>
  </si>
  <si>
    <t>40 o"kZ</t>
  </si>
  <si>
    <r>
      <t>2.50%</t>
    </r>
    <r>
      <rPr>
        <sz val="14"/>
        <rFont val="Richa"/>
      </rPr>
      <t xml:space="preserve"> fcgkj tehankjh&amp;mUewyu {kfriwjd ca/k&amp;i= </t>
    </r>
  </si>
  <si>
    <t>;ksx &amp;</t>
  </si>
  <si>
    <t>y?kq cpr laxzg.k dk fgLlk&amp;xSj ;kstuk _.k</t>
  </si>
  <si>
    <t>dtksZ dk fooj.k</t>
  </si>
  <si>
    <t>_.k dh jkf'k</t>
  </si>
  <si>
    <t>_.k dh jkf'k esa fcgkj dk fgLlk</t>
  </si>
  <si>
    <t>Hkqxrku dh vof/k</t>
  </si>
  <si>
    <t>vf/kLFkxu dky</t>
  </si>
  <si>
    <t>Hkqxrku dh 'kÙksZa</t>
  </si>
  <si>
    <r>
      <t>C;kt nj ¼</t>
    </r>
    <r>
      <rPr>
        <b/>
        <sz val="11"/>
        <rFont val="Times New Roman"/>
        <family val="1"/>
      </rPr>
      <t>%</t>
    </r>
    <r>
      <rPr>
        <b/>
        <sz val="14"/>
        <rFont val="Richa"/>
      </rPr>
      <t>½</t>
    </r>
  </si>
  <si>
    <t>Hkkx&amp;, ¼vfoHkkftr fcgkj½</t>
  </si>
  <si>
    <t>o"kZ 1999&amp;00</t>
  </si>
  <si>
    <t>;ksx ¼1999&amp;00½ &amp;</t>
  </si>
  <si>
    <t>o"kZ 2000&amp;01</t>
  </si>
  <si>
    <t>;ksx ¼2000&amp;01½ &amp;</t>
  </si>
  <si>
    <t>Hkkx&amp;ch ¼foHkkftr fcgkj½</t>
  </si>
  <si>
    <t>o"kZ 2001&amp;02</t>
  </si>
  <si>
    <t>;ksx ¼2001&amp;02½ &amp;</t>
  </si>
  <si>
    <t>o"kZ 2002&amp;03</t>
  </si>
  <si>
    <t>;ksx ¼2002&amp;03½ &amp;</t>
  </si>
  <si>
    <t>o"kZ 2003&amp;04</t>
  </si>
  <si>
    <t>;ksx ¼2003&amp;04½ &amp;</t>
  </si>
  <si>
    <t>o"kZ 2004&amp;05</t>
  </si>
  <si>
    <t>;ksx ¼2004&amp;05½ &amp;</t>
  </si>
  <si>
    <t>laHkkfor izkfIr</t>
  </si>
  <si>
    <t>;ksx ¼2005&amp;06½ &amp;</t>
  </si>
  <si>
    <t>;ksx ¼2006&amp;07½ &amp;</t>
  </si>
  <si>
    <t>ewy/ku ,oa lwn 15 twu ,oa 15 ekpZ izR;sd o"kZ Hkqxrs;</t>
  </si>
  <si>
    <t>egk;ksx &amp;</t>
  </si>
  <si>
    <t>;ksx&amp;</t>
  </si>
  <si>
    <t>ikWoj ckW.M~l</t>
  </si>
  <si>
    <t>lanHkZ la[;k</t>
  </si>
  <si>
    <t>frfFk</t>
  </si>
  <si>
    <t>ewy/ku Hkqxrku dh frfFk</t>
  </si>
  <si>
    <r>
      <t>vDVqcj</t>
    </r>
    <r>
      <rPr>
        <sz val="10"/>
        <rFont val="Arial"/>
        <family val="2"/>
      </rPr>
      <t>-2014</t>
    </r>
  </si>
  <si>
    <r>
      <t>vizSy</t>
    </r>
    <r>
      <rPr>
        <sz val="10"/>
        <rFont val="Arial"/>
        <family val="2"/>
      </rPr>
      <t>-2015</t>
    </r>
  </si>
  <si>
    <r>
      <t>vDVqcj</t>
    </r>
    <r>
      <rPr>
        <sz val="10"/>
        <rFont val="Arial"/>
        <family val="2"/>
      </rPr>
      <t>-2015</t>
    </r>
  </si>
  <si>
    <r>
      <t>vizSy</t>
    </r>
    <r>
      <rPr>
        <sz val="10"/>
        <rFont val="Arial"/>
        <family val="2"/>
      </rPr>
      <t>-2016</t>
    </r>
  </si>
  <si>
    <t>vDVqcj&amp;2014</t>
  </si>
  <si>
    <t>vizSy&amp;2015</t>
  </si>
  <si>
    <t>vDVqcj&amp;2015</t>
  </si>
  <si>
    <t>vizSy&amp;2016</t>
  </si>
  <si>
    <t>1yha vDVqcj ,oa 1yha vizSy dks izR;sd o"kZ Hkqxrs;</t>
  </si>
  <si>
    <t>egk;ksx&amp;</t>
  </si>
  <si>
    <t>6003-</t>
  </si>
  <si>
    <t>jkT; ljdkj dk vkarfjd _.k</t>
  </si>
  <si>
    <t>cktkj dtZ</t>
  </si>
  <si>
    <t>¼d½ C;kt lfgr cktkj _.k</t>
  </si>
  <si>
    <t>¼[k½ C;kt jfgr cktkj _.k</t>
  </si>
  <si>
    <t>Hkkjrh; thou chek fuxe ls dtZ</t>
  </si>
  <si>
    <t>Hkkjrh; lkekU; chek fuxe ls dtZ</t>
  </si>
  <si>
    <t>jk"Vªh; d`f"k vkSj xzkeh.k fodkl cSad ls dtZ</t>
  </si>
  <si>
    <t>izfrdj rFkk vU; ca/k&amp;i=</t>
  </si>
  <si>
    <t>Hkkjrh; LVsV cSad rFkk vU; cSadksa ls dtZ&amp;</t>
  </si>
  <si>
    <t>Hkkjrh; LVsV cSad ls dtsZ</t>
  </si>
  <si>
    <t>jk"Vªh; lgdkjh fodkl fuxe ls dtZ&amp;</t>
  </si>
  <si>
    <t>jk"Vªh; lgdkjh fodkl fuxe vkSj dsUnzh; HkaMkj fuxe ls dtsZ</t>
  </si>
  <si>
    <t>vU; laLFkkvksa ls dtZ&amp;</t>
  </si>
  <si>
    <t>fjtoZ cSad ds jk"Vªh; d`f"k m/kkj fuf/k ls dtsZ</t>
  </si>
  <si>
    <t>[kknh vkSj xzke m|ksx vk;ksx ls dtsZ</t>
  </si>
  <si>
    <t>fcgkj jkT; HkaMkj fuxe ls dtsZ</t>
  </si>
  <si>
    <t>fcgkj jkT; fo|qr cksMZ ls dtsZ</t>
  </si>
  <si>
    <t>fcgkj jkT; lgdkfjrk ykg foi.ku egkla?k ls dtsZ</t>
  </si>
  <si>
    <t>vkokl ,oa 'kgjh fodkl fuxe ls dtsZ</t>
  </si>
  <si>
    <t>jk"Vªh; chek fuxe ¼dEiuh½ ls dtsZ</t>
  </si>
  <si>
    <t xml:space="preserve">Hkkjrh; fjtoZ cSad ls vFkksZik; vfxze </t>
  </si>
  <si>
    <t>dsUnzh; ljdkj ds jk"Vªh; y?kq cpr fuf/k dks fuxZr fo'ks"k izfrHkwfr;k¡</t>
  </si>
  <si>
    <t>vU; dtsZ</t>
  </si>
  <si>
    <t>vC;kt ns; _.k</t>
  </si>
  <si>
    <t>01-04-02 dk vo'ks"k</t>
  </si>
  <si>
    <t>01-04-03 dk vo'ks"k</t>
  </si>
  <si>
    <t>01-04-04 dk vo'ks"k</t>
  </si>
  <si>
    <t>01-04-05 dk vo'ks"k</t>
  </si>
  <si>
    <t>01-04-06 dk vo'ks"k</t>
  </si>
  <si>
    <r>
      <t xml:space="preserve">6.75% </t>
    </r>
    <r>
      <rPr>
        <sz val="14"/>
        <rFont val="Richa"/>
      </rPr>
      <t>fcgkj jkT; fodkl _.k 1992</t>
    </r>
  </si>
  <si>
    <r>
      <t xml:space="preserve">7% </t>
    </r>
    <r>
      <rPr>
        <sz val="14"/>
        <rFont val="Richa"/>
      </rPr>
      <t>fcgkj jkT; fodkl _.k 1993</t>
    </r>
  </si>
  <si>
    <r>
      <t xml:space="preserve">7.50% </t>
    </r>
    <r>
      <rPr>
        <sz val="14"/>
        <rFont val="Richa"/>
      </rPr>
      <t>fcgkj jkT; fodkl _.k 1997</t>
    </r>
  </si>
  <si>
    <r>
      <t xml:space="preserve">9.75% </t>
    </r>
    <r>
      <rPr>
        <sz val="14"/>
        <rFont val="Richa"/>
      </rPr>
      <t>fcgkj jkT; fodkl _.k 1998</t>
    </r>
  </si>
  <si>
    <r>
      <t xml:space="preserve">9% </t>
    </r>
    <r>
      <rPr>
        <sz val="14"/>
        <rFont val="Richa"/>
      </rPr>
      <t>fcgkj jkT; fodkl _.k 1999</t>
    </r>
  </si>
  <si>
    <r>
      <t xml:space="preserve">8.75% </t>
    </r>
    <r>
      <rPr>
        <sz val="14"/>
        <rFont val="Richa"/>
      </rPr>
      <t>fcgkj jkT; fodkl _.k 2000</t>
    </r>
  </si>
  <si>
    <r>
      <t xml:space="preserve">11% </t>
    </r>
    <r>
      <rPr>
        <sz val="14"/>
        <rFont val="Richa"/>
      </rPr>
      <t>fcgkj jkT; fodkl _.k 2001</t>
    </r>
  </si>
  <si>
    <r>
      <t xml:space="preserve">11% </t>
    </r>
    <r>
      <rPr>
        <sz val="14"/>
        <rFont val="Richa"/>
      </rPr>
      <t>fcgkj jkT; fodkl _.k 2002</t>
    </r>
  </si>
  <si>
    <r>
      <t xml:space="preserve">13.50% </t>
    </r>
    <r>
      <rPr>
        <sz val="14"/>
        <rFont val="Richa"/>
      </rPr>
      <t>fcgkj jkT; fodkl _.k 2003</t>
    </r>
  </si>
  <si>
    <r>
      <t xml:space="preserve">14% </t>
    </r>
    <r>
      <rPr>
        <sz val="14"/>
        <rFont val="Richa"/>
      </rPr>
      <t>fcgkj jkT; fodkl _.k 2005</t>
    </r>
  </si>
  <si>
    <t>lwn izR;sd frekgh ds 1yha frfFk dks ,oa ewy/ku okf"kZd Hkqxrs;</t>
  </si>
  <si>
    <t>ukckMZ ls izkIr _.k dk lkjka'k</t>
  </si>
  <si>
    <t>WM-17/2005-76F dt.-17.02.2005</t>
  </si>
  <si>
    <t>vC;kt ns; cktkj _.k</t>
  </si>
  <si>
    <t>o"kZ 2005&amp;06</t>
  </si>
  <si>
    <t xml:space="preserve">NABARD (RIDF-VII) </t>
  </si>
  <si>
    <t xml:space="preserve">NABARD (RIDF-VIII) </t>
  </si>
  <si>
    <t xml:space="preserve">NABARD (RIDF-IX) </t>
  </si>
  <si>
    <t xml:space="preserve">NABARD (RIDF-X) </t>
  </si>
  <si>
    <t xml:space="preserve">NABARD (RIDF-XI) </t>
  </si>
  <si>
    <t xml:space="preserve">uksV%&amp; </t>
  </si>
  <si>
    <t xml:space="preserve">iqfLrdk esa iznf'kZr vk¡dM+sa egkys[kkdkj ,oa vkj-ch-vkbZ- ds lR;kiuk/khu gSa] lR;kiuksaijkar ifjofÙkZr gks ldrs gS A </t>
  </si>
  <si>
    <t xml:space="preserve"> 01.04.07</t>
  </si>
  <si>
    <t>2008-09</t>
  </si>
  <si>
    <t xml:space="preserve"> 17.07.2007</t>
  </si>
  <si>
    <t xml:space="preserve">NABARD (RIDF-XII) </t>
  </si>
  <si>
    <t>tksM+&amp;101 cktkj dtZ</t>
  </si>
  <si>
    <t>0002</t>
  </si>
  <si>
    <t>tehankjh mUewyu eqvkotk ca/k&amp;i=</t>
  </si>
  <si>
    <t>ikoj ckW.M</t>
  </si>
  <si>
    <t>0003</t>
  </si>
  <si>
    <t>tksM+&amp;106&amp;izfrdj rFkk vU; ca/k&amp;i=</t>
  </si>
  <si>
    <t>0001</t>
  </si>
  <si>
    <t>tksM+&amp;107&amp;Hkkjrh; LVsV cSad rFkk vU; cSadksa ls dtZ</t>
  </si>
  <si>
    <t>tksM+&amp;108&amp;jk"Vªh; lgdkjh fodkl fuxe vkSj dsUnzh; HkaMkj fuxe ls dtsZ</t>
  </si>
  <si>
    <t>0004</t>
  </si>
  <si>
    <t>0005</t>
  </si>
  <si>
    <t>0006</t>
  </si>
  <si>
    <t>0007</t>
  </si>
  <si>
    <t>0008</t>
  </si>
  <si>
    <t xml:space="preserve">tksM+&amp;109&amp;vU; laLFkkvksa ls dtZ </t>
  </si>
  <si>
    <t xml:space="preserve">egktksM+&amp;6003&amp;jkT; ljdkj dk vkarfjd  _.k </t>
  </si>
  <si>
    <t>01-04-07 dk vo'ks"k</t>
  </si>
  <si>
    <t>ØŒ laŒ</t>
  </si>
  <si>
    <t>;ksx ¼2007&amp;08½ &amp;</t>
  </si>
  <si>
    <t xml:space="preserve">NABARD (RIDF-XIII) </t>
  </si>
  <si>
    <t>IDMD. No. 4156/08.03.11/2007-08 dt. 25.02.2008</t>
  </si>
  <si>
    <t>2009-10</t>
  </si>
  <si>
    <r>
      <t xml:space="preserve">8.25% </t>
    </r>
    <r>
      <rPr>
        <sz val="14"/>
        <rFont val="Richa"/>
      </rPr>
      <t>fcgkj thŒ,lŒ] _.k 2018</t>
    </r>
  </si>
  <si>
    <t>Øe laŒ</t>
  </si>
  <si>
    <t>o"kZ 2008&amp;09 &amp;</t>
  </si>
  <si>
    <t>;ksx ¼2008&amp;09½</t>
  </si>
  <si>
    <r>
      <t xml:space="preserve">6.45% </t>
    </r>
    <r>
      <rPr>
        <sz val="14"/>
        <rFont val="Richa"/>
      </rPr>
      <t>fcgkj thŒ,lŒ] _.k 2018</t>
    </r>
  </si>
  <si>
    <t xml:space="preserve">NABARD (RIDF-XIV) </t>
  </si>
  <si>
    <t>01.04.2008</t>
  </si>
  <si>
    <t>01-04-08 dk vo'ks"k</t>
  </si>
  <si>
    <t>17.02.2009</t>
  </si>
  <si>
    <t>03.03.2009</t>
  </si>
  <si>
    <t>31.03.2009</t>
  </si>
  <si>
    <t>30.03.2009</t>
  </si>
  <si>
    <t>26.03.2009</t>
  </si>
  <si>
    <t>26.02.2009</t>
  </si>
  <si>
    <t>23.03.2009</t>
  </si>
  <si>
    <t>05.03.2009</t>
  </si>
  <si>
    <t>17.03.2009</t>
  </si>
  <si>
    <t>30.12.2008</t>
  </si>
  <si>
    <t>13.01.2009</t>
  </si>
  <si>
    <t>20.03.2009</t>
  </si>
  <si>
    <t>11.09.2007</t>
  </si>
  <si>
    <t>28.03.2008</t>
  </si>
  <si>
    <t>07.08.2007</t>
  </si>
  <si>
    <t>11.10.2007</t>
  </si>
  <si>
    <t>11.12.2007</t>
  </si>
  <si>
    <t>07.03.2008</t>
  </si>
  <si>
    <t>08.11.2007</t>
  </si>
  <si>
    <t>26.06.2008</t>
  </si>
  <si>
    <t>22.01.2009</t>
  </si>
  <si>
    <t>20.12.2007</t>
  </si>
  <si>
    <t>18.03.2008</t>
  </si>
  <si>
    <t>10.07.2008</t>
  </si>
  <si>
    <t>17.07.2007</t>
  </si>
  <si>
    <t>27.11.2007</t>
  </si>
  <si>
    <t>27.12.2007</t>
  </si>
  <si>
    <t>03.01.2008</t>
  </si>
  <si>
    <t>26.03.2008</t>
  </si>
  <si>
    <t>22.07.2008</t>
  </si>
  <si>
    <t>26.08.2008</t>
  </si>
  <si>
    <t>28.11.2008</t>
  </si>
  <si>
    <t>20.01.2009</t>
  </si>
  <si>
    <t>06.12.2007</t>
  </si>
  <si>
    <t>16.10.2007</t>
  </si>
  <si>
    <t>20.11.2007</t>
  </si>
  <si>
    <t>02.09.2008</t>
  </si>
  <si>
    <t>22.10.2008</t>
  </si>
  <si>
    <t>16.12.2008</t>
  </si>
  <si>
    <t>26.02.2008</t>
  </si>
  <si>
    <t>17.04.2008</t>
  </si>
  <si>
    <t>24.04.2008</t>
  </si>
  <si>
    <t>13.05.2008</t>
  </si>
  <si>
    <t>05.06.2008</t>
  </si>
  <si>
    <t>17.06.2008</t>
  </si>
  <si>
    <t>17.07.2008</t>
  </si>
  <si>
    <t>16.09.2008</t>
  </si>
  <si>
    <t>23.09.2008</t>
  </si>
  <si>
    <t>26.09.2008</t>
  </si>
  <si>
    <t>29.01.2009</t>
  </si>
  <si>
    <t>05.02.2009</t>
  </si>
  <si>
    <t>01.04.2010</t>
  </si>
  <si>
    <t>2010-11</t>
  </si>
  <si>
    <t>25.02.2008</t>
  </si>
  <si>
    <t>25.02.2018</t>
  </si>
  <si>
    <t>IDMD. No. 2736/08.03.011/ 2008-09 dt. 24.12.2008</t>
  </si>
  <si>
    <t>24.12.2008</t>
  </si>
  <si>
    <t>24.12.2018</t>
  </si>
  <si>
    <t>IDMD. No.  /08.03.011/ 2008-09 dt. 23.01.2009</t>
  </si>
  <si>
    <t>23.01.2009</t>
  </si>
  <si>
    <t>IDMD. No. 4195/08.03.011/ 2008-09 dt. 12.03.2009</t>
  </si>
  <si>
    <t>12.03.2009</t>
  </si>
  <si>
    <t>12.03.2019</t>
  </si>
  <si>
    <t>IDMD. No.  /08.03.011/ 2008-09 dt. 25.03.2009</t>
  </si>
  <si>
    <t>25.03.2009</t>
  </si>
  <si>
    <t>25flrEcj@25ekpZ</t>
  </si>
  <si>
    <t>25.03.2019</t>
  </si>
  <si>
    <r>
      <t xml:space="preserve">7.10% </t>
    </r>
    <r>
      <rPr>
        <sz val="14"/>
        <rFont val="Richa"/>
      </rPr>
      <t xml:space="preserve">fcgkj thŒ,lŒ] _.k 2019 </t>
    </r>
  </si>
  <si>
    <r>
      <t xml:space="preserve">8.78% </t>
    </r>
    <r>
      <rPr>
        <sz val="14"/>
        <rFont val="Richa"/>
      </rPr>
      <t xml:space="preserve">fcgkj thŒ,lŒ] _.k 2019 </t>
    </r>
  </si>
  <si>
    <r>
      <t xml:space="preserve">8.45% </t>
    </r>
    <r>
      <rPr>
        <sz val="14"/>
        <rFont val="Richa"/>
      </rPr>
      <t xml:space="preserve">fcgkj thŒ,lŒ] _.k 2019 </t>
    </r>
  </si>
  <si>
    <r>
      <t xml:space="preserve">7.89% </t>
    </r>
    <r>
      <rPr>
        <sz val="14"/>
        <rFont val="Richa"/>
      </rPr>
      <t xml:space="preserve">fcgkj thŒ,lŒ] _.k 2019 </t>
    </r>
  </si>
  <si>
    <t>IDMD. No.  6240/08.03.011/ 2008-09 dt. 16.06.2009</t>
  </si>
  <si>
    <t>23.06.2009</t>
  </si>
  <si>
    <t>23fnlEcj@23tqu</t>
  </si>
  <si>
    <t>23.06.2019</t>
  </si>
  <si>
    <r>
      <t xml:space="preserve">8.49% </t>
    </r>
    <r>
      <rPr>
        <sz val="14"/>
        <rFont val="Richa"/>
      </rPr>
      <t xml:space="preserve">fcgkj thŒ,lŒ] _.k 2019 </t>
    </r>
  </si>
  <si>
    <r>
      <t xml:space="preserve">8.25% </t>
    </r>
    <r>
      <rPr>
        <sz val="14"/>
        <rFont val="Richa"/>
      </rPr>
      <t xml:space="preserve">fcgkj thŒ,lŒ] _.k 2019 </t>
    </r>
  </si>
  <si>
    <r>
      <t xml:space="preserve">8.35% </t>
    </r>
    <r>
      <rPr>
        <sz val="14"/>
        <rFont val="Richa"/>
      </rPr>
      <t xml:space="preserve">fcgkj thŒ,lŒ] _.k 2019 </t>
    </r>
  </si>
  <si>
    <t>IDMD. No.  1488/08.03.011/ 2009-10 dt. 30.09.2009</t>
  </si>
  <si>
    <t>IDMD. No.  2042/08.03.011/ 2009-10 dt. 04.11.2009</t>
  </si>
  <si>
    <t>IDMD. No.  2427/08.03.011/ 2009-10 dt. 02.12.2009</t>
  </si>
  <si>
    <t>07vizSy@07vDVwcj</t>
  </si>
  <si>
    <t>07.10.2019</t>
  </si>
  <si>
    <t>11ebZ@ 11uoEcj</t>
  </si>
  <si>
    <t>11.11.2019</t>
  </si>
  <si>
    <t>09twu@ 09fnlEcj</t>
  </si>
  <si>
    <t>09.12.2019</t>
  </si>
  <si>
    <t>11.11.2009</t>
  </si>
  <si>
    <t>09.12.2009</t>
  </si>
  <si>
    <t>07.10.2009</t>
  </si>
  <si>
    <r>
      <t xml:space="preserve">13% </t>
    </r>
    <r>
      <rPr>
        <sz val="14"/>
        <rFont val="Richa"/>
      </rPr>
      <t>fcgkj jkT; fodkl _.k 2007</t>
    </r>
  </si>
  <si>
    <t>30-09-09 dk vo'ks"k</t>
  </si>
  <si>
    <t>o"kZ 2009&amp;10 &amp;</t>
  </si>
  <si>
    <t>;ksx ¼2009&amp;10½</t>
  </si>
  <si>
    <t>o"kZ 2010&amp;11 &amp;</t>
  </si>
  <si>
    <t>21.05.2009</t>
  </si>
  <si>
    <t>25.06.2009</t>
  </si>
  <si>
    <t>21.04.2009</t>
  </si>
  <si>
    <t>11.08.2009</t>
  </si>
  <si>
    <t>01.09.2009</t>
  </si>
  <si>
    <t>17.09.2009</t>
  </si>
  <si>
    <t>10.11.2009</t>
  </si>
  <si>
    <t>17.11.2009</t>
  </si>
  <si>
    <t>28.01.2010</t>
  </si>
  <si>
    <t>04.02.2010</t>
  </si>
  <si>
    <t>26.05.2009</t>
  </si>
  <si>
    <t>18.08.2009</t>
  </si>
  <si>
    <t>22.10.2009</t>
  </si>
  <si>
    <t>24.11.2009</t>
  </si>
  <si>
    <t>19.01.2010</t>
  </si>
  <si>
    <t>02.06.2009</t>
  </si>
  <si>
    <t>30.06.2009</t>
  </si>
  <si>
    <t>07.07.2009</t>
  </si>
  <si>
    <t>30.07.2009</t>
  </si>
  <si>
    <t>27.08.2009</t>
  </si>
  <si>
    <t>06.10.2009</t>
  </si>
  <si>
    <t>29.10.2009</t>
  </si>
  <si>
    <t>03.12.2009</t>
  </si>
  <si>
    <t>08.12.2009</t>
  </si>
  <si>
    <t>30.12.2009</t>
  </si>
  <si>
    <t>12.01.2010</t>
  </si>
  <si>
    <t xml:space="preserve">NABARD (RIDF-XV) </t>
  </si>
  <si>
    <t>22.12.2009</t>
  </si>
  <si>
    <t>23.12.2009</t>
  </si>
  <si>
    <t>10.02.2010</t>
  </si>
  <si>
    <t>16.02.2010</t>
  </si>
  <si>
    <t>18.02.2010</t>
  </si>
  <si>
    <t>23.02.2010</t>
  </si>
  <si>
    <t>26.02.2010</t>
  </si>
  <si>
    <t>03.03.2010</t>
  </si>
  <si>
    <t>04.03.2010</t>
  </si>
  <si>
    <t>05.03.2010</t>
  </si>
  <si>
    <t>10.03.2010</t>
  </si>
  <si>
    <t>11.03.2010</t>
  </si>
  <si>
    <t>12.03.2010</t>
  </si>
  <si>
    <t>16.03.2010</t>
  </si>
  <si>
    <t>19.03.2010</t>
  </si>
  <si>
    <t>23.03.2010</t>
  </si>
  <si>
    <t>25.03.2010</t>
  </si>
  <si>
    <t>29.03.2010</t>
  </si>
  <si>
    <t>30.03.2010</t>
  </si>
  <si>
    <t>31.03.2010</t>
  </si>
  <si>
    <t>01.04.2011</t>
  </si>
  <si>
    <t>2011-12</t>
  </si>
  <si>
    <r>
      <t xml:space="preserve">8.53% </t>
    </r>
    <r>
      <rPr>
        <sz val="14"/>
        <rFont val="Richa"/>
      </rPr>
      <t xml:space="preserve">fcgkj thŒ,lŒ] _.k 2020 </t>
    </r>
  </si>
  <si>
    <t>1354 dated 30-4-10</t>
  </si>
  <si>
    <t>28.04.2010</t>
  </si>
  <si>
    <t>28vDVwcj@28vizSy</t>
  </si>
  <si>
    <t>28.04.2020</t>
  </si>
  <si>
    <t>30-09-10 dk vo'ks"k</t>
  </si>
  <si>
    <t>o"kZ 2011&amp;12 &amp;</t>
  </si>
  <si>
    <r>
      <t xml:space="preserve">8.55% </t>
    </r>
    <r>
      <rPr>
        <sz val="14"/>
        <rFont val="Richa"/>
      </rPr>
      <t>fcgkj thŒ,lŒ] _.k 2021</t>
    </r>
  </si>
  <si>
    <t>19.01.2011</t>
  </si>
  <si>
    <t>IDMD. No.  3178/08.03.011/ 2010-11 dt. 18.01.2011</t>
  </si>
  <si>
    <t>19tqykbZ@19tuojh</t>
  </si>
  <si>
    <t>19.01.2021</t>
  </si>
  <si>
    <t>15.03.2011</t>
  </si>
  <si>
    <t>16.04.2010</t>
  </si>
  <si>
    <t>20.04.2010</t>
  </si>
  <si>
    <t>11.05.2010</t>
  </si>
  <si>
    <t>18.05.2010</t>
  </si>
  <si>
    <t>08.06.2010</t>
  </si>
  <si>
    <t>17.06.2010</t>
  </si>
  <si>
    <t>08.07.2010</t>
  </si>
  <si>
    <t>15.07.2010</t>
  </si>
  <si>
    <t>27.07.2010</t>
  </si>
  <si>
    <t>29.07.2010</t>
  </si>
  <si>
    <t>05.08.2010</t>
  </si>
  <si>
    <t>12.08.2010</t>
  </si>
  <si>
    <t>17.08.2010</t>
  </si>
  <si>
    <t xml:space="preserve">NABARD (RIDF-XVI) </t>
  </si>
  <si>
    <t>18.08.2010</t>
  </si>
  <si>
    <t>24.08.2010</t>
  </si>
  <si>
    <t>26.08.2010</t>
  </si>
  <si>
    <t>29.09.2010</t>
  </si>
  <si>
    <t>28.10.2010</t>
  </si>
  <si>
    <t>02.11.2010</t>
  </si>
  <si>
    <t>04.11.2010</t>
  </si>
  <si>
    <t>23.11.2010</t>
  </si>
  <si>
    <t>02.12.2010</t>
  </si>
  <si>
    <t>07.12.2010</t>
  </si>
  <si>
    <t>09.12.2010</t>
  </si>
  <si>
    <t>14.12.2010</t>
  </si>
  <si>
    <t>28.12.2010</t>
  </si>
  <si>
    <t>06.01.2011</t>
  </si>
  <si>
    <t>11.01.2011</t>
  </si>
  <si>
    <t>13.01.2011</t>
  </si>
  <si>
    <t>14.01.2011</t>
  </si>
  <si>
    <t>18.01.2011</t>
  </si>
  <si>
    <t>20.01.2011</t>
  </si>
  <si>
    <t>21.01.2011</t>
  </si>
  <si>
    <t>25.01.2011</t>
  </si>
  <si>
    <t>27.01.2011</t>
  </si>
  <si>
    <t>01.02.2011</t>
  </si>
  <si>
    <t>08.02.2011</t>
  </si>
  <si>
    <t>09.02.2011</t>
  </si>
  <si>
    <t>2012-13</t>
  </si>
  <si>
    <r>
      <t xml:space="preserve">8.38% </t>
    </r>
    <r>
      <rPr>
        <sz val="14"/>
        <rFont val="Richa"/>
      </rPr>
      <t>fcgkj thŒ,lŒ] _.k 2021</t>
    </r>
  </si>
  <si>
    <t>16.03.2011</t>
  </si>
  <si>
    <t>16flrEcj@16ekpZ</t>
  </si>
  <si>
    <t>16.03.2021</t>
  </si>
  <si>
    <r>
      <t xml:space="preserve">8.89% </t>
    </r>
    <r>
      <rPr>
        <sz val="14"/>
        <rFont val="Richa"/>
      </rPr>
      <t>fcgkj thŒ,lŒ] _.k 2021</t>
    </r>
  </si>
  <si>
    <t>IDMD. No.  1555/08.03.011/ 2011-12 dt. 04.10.2011</t>
  </si>
  <si>
    <t>05.10.2011</t>
  </si>
  <si>
    <t>05vizSy@05vDVwcj</t>
  </si>
  <si>
    <t>05.10.2021</t>
  </si>
  <si>
    <r>
      <t xml:space="preserve">8.80% </t>
    </r>
    <r>
      <rPr>
        <sz val="14"/>
        <rFont val="Richa"/>
      </rPr>
      <t>fcgkj thŒ,lŒ] _.k 2021</t>
    </r>
  </si>
  <si>
    <t>21.12.2011</t>
  </si>
  <si>
    <t>IDMD. No.  2521/08.03.011/ 2011-12 dt. 20.12.2011</t>
  </si>
  <si>
    <t>21twu@21fnlEcj</t>
  </si>
  <si>
    <t>21.12.2021</t>
  </si>
  <si>
    <t>;ksx&amp; ¼2010&amp;11½</t>
  </si>
  <si>
    <t>;ksx&amp; ¼2011&amp;12½</t>
  </si>
  <si>
    <t>o"kZ 2012&amp;13</t>
  </si>
  <si>
    <t>;ksx&amp; ¼2012&amp;13½</t>
  </si>
  <si>
    <t>30-09-11 dk vo'ks"k</t>
  </si>
  <si>
    <r>
      <t xml:space="preserve">11.50% </t>
    </r>
    <r>
      <rPr>
        <sz val="14"/>
        <rFont val="Richa"/>
      </rPr>
      <t>fcgkj jkT; fodkl _.k 2010</t>
    </r>
  </si>
  <si>
    <r>
      <t xml:space="preserve">8.72% </t>
    </r>
    <r>
      <rPr>
        <sz val="14"/>
        <rFont val="Richa"/>
      </rPr>
      <t>fcgkj thŒ,lŒ] _.k 2022</t>
    </r>
  </si>
  <si>
    <t>IDMD. No.  2973/08.03.011/ 2011-12 dt. 24.01.2012</t>
  </si>
  <si>
    <t>25.01.2012</t>
  </si>
  <si>
    <t>25twykbZ@25tuojh</t>
  </si>
  <si>
    <t>25.01.2022</t>
  </si>
  <si>
    <t>11.02.2011</t>
  </si>
  <si>
    <t>14.02.2011</t>
  </si>
  <si>
    <t>15.02.2011</t>
  </si>
  <si>
    <t>17.02.2011</t>
  </si>
  <si>
    <t>24.02.2011</t>
  </si>
  <si>
    <t>28.02.2011</t>
  </si>
  <si>
    <t>01.03.2011</t>
  </si>
  <si>
    <t>04.03.2011</t>
  </si>
  <si>
    <t>17.03.2011</t>
  </si>
  <si>
    <t>18.03.2011</t>
  </si>
  <si>
    <t>21.03.2011</t>
  </si>
  <si>
    <t>24.03.2011</t>
  </si>
  <si>
    <t>25.03.2011</t>
  </si>
  <si>
    <t>28.03.2011</t>
  </si>
  <si>
    <t>29.03.2011</t>
  </si>
  <si>
    <t>30.03.2011</t>
  </si>
  <si>
    <t>31.03.2011</t>
  </si>
  <si>
    <t>05.04.2011</t>
  </si>
  <si>
    <t>07.04.2011</t>
  </si>
  <si>
    <t>13.04.2011</t>
  </si>
  <si>
    <t>28.04.2011</t>
  </si>
  <si>
    <t>03.05.2011</t>
  </si>
  <si>
    <t>21.06.2011</t>
  </si>
  <si>
    <t>19.07.2011</t>
  </si>
  <si>
    <t>04.08.2011</t>
  </si>
  <si>
    <t>30.08.2011</t>
  </si>
  <si>
    <t>06.09.2011</t>
  </si>
  <si>
    <t xml:space="preserve">NABARD (RIDF-XVII) </t>
  </si>
  <si>
    <t>23.08.2011</t>
  </si>
  <si>
    <t>07.10.2011</t>
  </si>
  <si>
    <t>03.11.2011</t>
  </si>
  <si>
    <t>08.11.2011</t>
  </si>
  <si>
    <t>17.11.2011</t>
  </si>
  <si>
    <t>23.11.2011</t>
  </si>
  <si>
    <t>25.11.2011</t>
  </si>
  <si>
    <t>29.11.2011</t>
  </si>
  <si>
    <t>30.11.2011</t>
  </si>
  <si>
    <t>05.12.2011</t>
  </si>
  <si>
    <t>22.12.2011</t>
  </si>
  <si>
    <t>23.12.2011</t>
  </si>
  <si>
    <t>26.12.2011</t>
  </si>
  <si>
    <t>28.12.2011</t>
  </si>
  <si>
    <t>29.12.2011</t>
  </si>
  <si>
    <t>09.01.2012</t>
  </si>
  <si>
    <t>10.01.2012</t>
  </si>
  <si>
    <t>16.01.2012</t>
  </si>
  <si>
    <t>23.01.2012</t>
  </si>
  <si>
    <t>30.01.2012</t>
  </si>
  <si>
    <t>01.04.2013</t>
  </si>
  <si>
    <r>
      <t xml:space="preserve">8.99% </t>
    </r>
    <r>
      <rPr>
        <sz val="14"/>
        <rFont val="Richa"/>
      </rPr>
      <t>fcgkj thŒ,lŒ] _.k 2022</t>
    </r>
  </si>
  <si>
    <r>
      <t xml:space="preserve">9.03% </t>
    </r>
    <r>
      <rPr>
        <sz val="14"/>
        <rFont val="Richa"/>
      </rPr>
      <t>fcgkj thŒ,lŒ] _.k 2022</t>
    </r>
  </si>
  <si>
    <t>07.03.2012</t>
  </si>
  <si>
    <t>21.03.2012</t>
  </si>
  <si>
    <t>IDMD. No.  3415/08.03.011/ 2011-12 dt. 06.03.2012</t>
  </si>
  <si>
    <t>7flrEcj@7ekpZ</t>
  </si>
  <si>
    <t>07.03.2022</t>
  </si>
  <si>
    <t>IDMD. No.  3608/08.03.011/ 2011-12 dt. 20.03.2012</t>
  </si>
  <si>
    <t>21flrEcj@21ekpZ</t>
  </si>
  <si>
    <t>21.03.2022</t>
  </si>
  <si>
    <t>24twu@fnlEcj</t>
  </si>
  <si>
    <t>23twykbZ@tuojh</t>
  </si>
  <si>
    <t>12flrEcj@ekpZ</t>
  </si>
  <si>
    <r>
      <t xml:space="preserve">9.16% </t>
    </r>
    <r>
      <rPr>
        <sz val="14"/>
        <rFont val="Richa"/>
      </rPr>
      <t>fcgkj thŒ,lŒ] _.k 2022</t>
    </r>
  </si>
  <si>
    <r>
      <t xml:space="preserve">8.89% </t>
    </r>
    <r>
      <rPr>
        <sz val="14"/>
        <rFont val="Richa"/>
      </rPr>
      <t>fcgkj thŒ,lŒ] _.k 2022</t>
    </r>
  </si>
  <si>
    <r>
      <t xml:space="preserve">8.97% </t>
    </r>
    <r>
      <rPr>
        <sz val="14"/>
        <rFont val="Richa"/>
      </rPr>
      <t>fcgkj thŒ,lŒ] _.k 2022</t>
    </r>
  </si>
  <si>
    <r>
      <t xml:space="preserve">8.68% </t>
    </r>
    <r>
      <rPr>
        <sz val="14"/>
        <rFont val="Richa"/>
      </rPr>
      <t>fcgkj thŒ,lŒ] _.k 2023</t>
    </r>
  </si>
  <si>
    <r>
      <t xml:space="preserve">8.69% </t>
    </r>
    <r>
      <rPr>
        <sz val="14"/>
        <rFont val="Richa"/>
      </rPr>
      <t>fcgkj thŒ,lŒ] _.k 2023</t>
    </r>
  </si>
  <si>
    <t>09.05.2012</t>
  </si>
  <si>
    <t>07.11.2012</t>
  </si>
  <si>
    <t>21.11.2012</t>
  </si>
  <si>
    <t>19.12.2012</t>
  </si>
  <si>
    <t>09.01.2013</t>
  </si>
  <si>
    <t>06.02.2013</t>
  </si>
  <si>
    <t>9uoEcj@ebZ</t>
  </si>
  <si>
    <t>7ebZ@uoEcj</t>
  </si>
  <si>
    <t>21ebZ@uoEcj</t>
  </si>
  <si>
    <t>19twu@fnlEcj</t>
  </si>
  <si>
    <t>9tqykbZ@tuojh</t>
  </si>
  <si>
    <t>6vxLr@Qjojh</t>
  </si>
  <si>
    <t>09.05.2022</t>
  </si>
  <si>
    <t>07.11.2022</t>
  </si>
  <si>
    <t>21.11.2022</t>
  </si>
  <si>
    <t>19.12.2022</t>
  </si>
  <si>
    <t>09.01.2023</t>
  </si>
  <si>
    <t>06.02.2023</t>
  </si>
  <si>
    <t>IDMD. No.  4257/08.03.011/ 2011-12 dt. 08.05.2012</t>
  </si>
  <si>
    <t>IDMD. No.  1482/08.03.011/ 2011-12 dt. 06.11..2012</t>
  </si>
  <si>
    <t>IDMD. No.  1584/08.03.011/ 2011-12 dt. 20.11.2012</t>
  </si>
  <si>
    <t>IDMD. No.  1853/08.03.011/ 2011-12 dt. 18.12.2012</t>
  </si>
  <si>
    <t>IDMD. No.  2018/08.03.011/ 2011-12 dt. 08.01.2013</t>
  </si>
  <si>
    <t>2013-14</t>
  </si>
  <si>
    <t>30-09-12 dk vo'ks"k</t>
  </si>
  <si>
    <r>
      <t xml:space="preserve">12.00% </t>
    </r>
    <r>
      <rPr>
        <sz val="14"/>
        <rFont val="Richa"/>
      </rPr>
      <t>fcgkj jkT; fodkl _.k 2011</t>
    </r>
  </si>
  <si>
    <t>o"kZ 2013&amp;14</t>
  </si>
  <si>
    <t>;ksx&amp; ¼2013&amp;14½</t>
  </si>
  <si>
    <r>
      <t xml:space="preserve">o"kZ </t>
    </r>
    <r>
      <rPr>
        <sz val="10"/>
        <rFont val="Arial"/>
        <family val="2"/>
      </rPr>
      <t>2007-2008</t>
    </r>
  </si>
  <si>
    <r>
      <t>o"kZ</t>
    </r>
    <r>
      <rPr>
        <sz val="16"/>
        <rFont val="Richa"/>
      </rPr>
      <t xml:space="preserve"> </t>
    </r>
    <r>
      <rPr>
        <sz val="10"/>
        <rFont val="Arial"/>
        <family val="2"/>
      </rPr>
      <t>2006-2007</t>
    </r>
  </si>
  <si>
    <t>21.02.2012</t>
  </si>
  <si>
    <t>22.02.2012</t>
  </si>
  <si>
    <t>27.02.2012</t>
  </si>
  <si>
    <t>12.03.2012</t>
  </si>
  <si>
    <t>16.03.2012</t>
  </si>
  <si>
    <t>19.03.2012</t>
  </si>
  <si>
    <t>20.03.2012</t>
  </si>
  <si>
    <t>26.03.2012</t>
  </si>
  <si>
    <t>27.03.2012</t>
  </si>
  <si>
    <t>28.03.2012</t>
  </si>
  <si>
    <t>29.03.2012</t>
  </si>
  <si>
    <t>30.03.2012</t>
  </si>
  <si>
    <t>31.03.2012</t>
  </si>
  <si>
    <t>07.06.2012</t>
  </si>
  <si>
    <t>11.06.2012</t>
  </si>
  <si>
    <t>12.06.2012</t>
  </si>
  <si>
    <t>13.06.2012</t>
  </si>
  <si>
    <t>15.06.2012</t>
  </si>
  <si>
    <t>21.06.2012</t>
  </si>
  <si>
    <t>22.06.2012</t>
  </si>
  <si>
    <t>27.06.2012</t>
  </si>
  <si>
    <t>03.07.2012</t>
  </si>
  <si>
    <t>09.07.2012</t>
  </si>
  <si>
    <t>27.07.2012</t>
  </si>
  <si>
    <t>07.08.2012</t>
  </si>
  <si>
    <t>16.08.2012</t>
  </si>
  <si>
    <t>22.08.2012</t>
  </si>
  <si>
    <t>24.08.2012</t>
  </si>
  <si>
    <t>29.08.2012</t>
  </si>
  <si>
    <t xml:space="preserve">NABARD (RIDF-XVIII) </t>
  </si>
  <si>
    <t>30.08.2012</t>
  </si>
  <si>
    <t>10.09.2012</t>
  </si>
  <si>
    <t>13.09.2012</t>
  </si>
  <si>
    <t>24.09.2012</t>
  </si>
  <si>
    <t>25.09.2012</t>
  </si>
  <si>
    <t>27.09.2012</t>
  </si>
  <si>
    <t>03.10.2012</t>
  </si>
  <si>
    <t>05.10.2012</t>
  </si>
  <si>
    <t>25.10.2012</t>
  </si>
  <si>
    <t>05.11.2012</t>
  </si>
  <si>
    <t>08.11.2012</t>
  </si>
  <si>
    <t>16.11.2012</t>
  </si>
  <si>
    <t>22.11.2012</t>
  </si>
  <si>
    <t>04.12.2012</t>
  </si>
  <si>
    <t>13.12.2012</t>
  </si>
  <si>
    <t>18.12.2012</t>
  </si>
  <si>
    <t>21.12.2012</t>
  </si>
  <si>
    <t>24.12.2012</t>
  </si>
  <si>
    <t>04.01.2013</t>
  </si>
  <si>
    <t>14.01.2013</t>
  </si>
  <si>
    <t>21.01.2013</t>
  </si>
  <si>
    <t>22.01.2013</t>
  </si>
  <si>
    <t>28.01.2013</t>
  </si>
  <si>
    <t>01.04.2014</t>
  </si>
  <si>
    <t>2014-15</t>
  </si>
  <si>
    <t>IDMD. No.  2228/08.03.011/ 2012-13 dt. 01.02.2013</t>
  </si>
  <si>
    <t>06.03.2013</t>
  </si>
  <si>
    <r>
      <t xml:space="preserve">8.62% </t>
    </r>
    <r>
      <rPr>
        <sz val="14"/>
        <rFont val="Richa"/>
      </rPr>
      <t>fcgkj thŒ,lŒ] _.k 2023</t>
    </r>
  </si>
  <si>
    <t>IDMD. No.  2467/08.03.011/ 2012-13 dt. 01.03.2013</t>
  </si>
  <si>
    <t>6flrEcj@ekpZ</t>
  </si>
  <si>
    <t>06.03.2023</t>
  </si>
  <si>
    <r>
      <t xml:space="preserve">8.64% </t>
    </r>
    <r>
      <rPr>
        <sz val="14"/>
        <rFont val="Richa"/>
      </rPr>
      <t>fcgkj thŒ,lŒ] _.k 2023</t>
    </r>
  </si>
  <si>
    <t>IDMD. No.  2580/08.03.011/ 2012-13 dt. 15.03.2013</t>
  </si>
  <si>
    <t>20.03.2013</t>
  </si>
  <si>
    <t>20flrEcj@ekpZ</t>
  </si>
  <si>
    <t>20.03.2023</t>
  </si>
  <si>
    <r>
      <t xml:space="preserve">9.39% </t>
    </r>
    <r>
      <rPr>
        <sz val="14"/>
        <rFont val="Richa"/>
      </rPr>
      <t>fcgkj thŒ,lŒ] _.k 2023</t>
    </r>
  </si>
  <si>
    <t>IDMD. No.  1076/08.03.011/ 2013-14 dt. 03.10.2013</t>
  </si>
  <si>
    <t>09.10.2013</t>
  </si>
  <si>
    <t>9vizSy@vDVwcj</t>
  </si>
  <si>
    <t>09.10.2023</t>
  </si>
  <si>
    <r>
      <t xml:space="preserve">9.40% </t>
    </r>
    <r>
      <rPr>
        <sz val="14"/>
        <rFont val="Richa"/>
      </rPr>
      <t>fcgkj thŒ,lŒ] _.k 2023</t>
    </r>
  </si>
  <si>
    <t>23.10.2013</t>
  </si>
  <si>
    <t>23.10.2023</t>
  </si>
  <si>
    <t xml:space="preserve">IDMD. No.        /08.03.011/ 2013-14 dt.  </t>
  </si>
  <si>
    <t>23vizSy@vDVwcj</t>
  </si>
  <si>
    <r>
      <t xml:space="preserve">9.52% </t>
    </r>
    <r>
      <rPr>
        <sz val="14"/>
        <rFont val="Richa"/>
      </rPr>
      <t>fcgkj thŒ,lŒ] _.k 2023</t>
    </r>
  </si>
  <si>
    <t>18.12.2013</t>
  </si>
  <si>
    <t>18twu@fnlEcj</t>
  </si>
  <si>
    <t>18.12.2023</t>
  </si>
  <si>
    <t xml:space="preserve">IDMD. No.  1787/08.03.011/ 2013-14 dt. 12.12.2013  </t>
  </si>
  <si>
    <t>16.01.2014</t>
  </si>
  <si>
    <t>16tqykbZ@tuojh</t>
  </si>
  <si>
    <t>16.01.2024</t>
  </si>
  <si>
    <t>30-09-13 dk vo'ks"k</t>
  </si>
  <si>
    <r>
      <rPr>
        <b/>
        <u/>
        <sz val="14"/>
        <rFont val="Richa"/>
      </rPr>
      <t>lzksr</t>
    </r>
    <r>
      <rPr>
        <b/>
        <sz val="14"/>
        <rFont val="Richa"/>
      </rPr>
      <t>&amp;</t>
    </r>
  </si>
  <si>
    <t>;ksx&amp; ¼2014&amp;15½</t>
  </si>
  <si>
    <t>12.03.2013</t>
  </si>
  <si>
    <t>13.02.2013</t>
  </si>
  <si>
    <t>14.03.2013</t>
  </si>
  <si>
    <t>19.03.2013</t>
  </si>
  <si>
    <t>21.03.2013</t>
  </si>
  <si>
    <t>25.03.2013</t>
  </si>
  <si>
    <t>26.03.2013</t>
  </si>
  <si>
    <t>15.05.2013</t>
  </si>
  <si>
    <t>16.05.2013</t>
  </si>
  <si>
    <t>17.05.2013</t>
  </si>
  <si>
    <t>20.05.2013</t>
  </si>
  <si>
    <t>27.05.2013</t>
  </si>
  <si>
    <t xml:space="preserve">NABARD (RIDF-XIX) </t>
  </si>
  <si>
    <t>30.05.2013</t>
  </si>
  <si>
    <t>11.06.2013</t>
  </si>
  <si>
    <t>20.06.2013</t>
  </si>
  <si>
    <t>27.06.2013</t>
  </si>
  <si>
    <t>08.07.2013</t>
  </si>
  <si>
    <t>14.08.2013</t>
  </si>
  <si>
    <t>16.08.2013</t>
  </si>
  <si>
    <t>19.08.2013</t>
  </si>
  <si>
    <t>20.08.2013</t>
  </si>
  <si>
    <t>03.09.2013</t>
  </si>
  <si>
    <t>04.09.2013</t>
  </si>
  <si>
    <t>12.08.2013</t>
  </si>
  <si>
    <t>13.08.2013</t>
  </si>
  <si>
    <t>13.09.2013</t>
  </si>
  <si>
    <t>18.09.2013</t>
  </si>
  <si>
    <t>27.09.2013</t>
  </si>
  <si>
    <t>03.10.2013</t>
  </si>
  <si>
    <t>17.10.2013</t>
  </si>
  <si>
    <t>22.10.2013</t>
  </si>
  <si>
    <t>30.10.2013</t>
  </si>
  <si>
    <t>01.11.2013</t>
  </si>
  <si>
    <t>06.11.2013</t>
  </si>
  <si>
    <t>27.11.2013</t>
  </si>
  <si>
    <t>02.12.2013</t>
  </si>
  <si>
    <t>10.12.2013</t>
  </si>
  <si>
    <t>19.12.2013</t>
  </si>
  <si>
    <t>27.12.2013</t>
  </si>
  <si>
    <t>03.01.2014</t>
  </si>
  <si>
    <t>09.01.2014</t>
  </si>
  <si>
    <t>22.01.2014</t>
  </si>
  <si>
    <t>24.01.2014</t>
  </si>
  <si>
    <t>28.01.2014</t>
  </si>
  <si>
    <t>05.02.2014</t>
  </si>
  <si>
    <t>06.02.2014</t>
  </si>
  <si>
    <r>
      <t xml:space="preserve">9.64% </t>
    </r>
    <r>
      <rPr>
        <sz val="14"/>
        <rFont val="Richa"/>
      </rPr>
      <t>fcgkj thŒ,lŒ] _.k 2024</t>
    </r>
  </si>
  <si>
    <t>IDMD. No.  2247/08.03.011/ 2013-14 dt. 06.02.2014</t>
  </si>
  <si>
    <t>12.02.2014</t>
  </si>
  <si>
    <t>12vxLr@Qjojh</t>
  </si>
  <si>
    <t>12.02.2024</t>
  </si>
  <si>
    <r>
      <t xml:space="preserve">9.84% </t>
    </r>
    <r>
      <rPr>
        <sz val="14"/>
        <rFont val="Richa"/>
      </rPr>
      <t>fcgkj thŒ,lŒ] _.k 2024</t>
    </r>
  </si>
  <si>
    <t>IDMD. No.  2329/08.03.011/ 2013-14 dt. 20.02.2014</t>
  </si>
  <si>
    <t>26.02.2014</t>
  </si>
  <si>
    <t>26vxLr@Qjojh</t>
  </si>
  <si>
    <t>26.02.2024</t>
  </si>
  <si>
    <t xml:space="preserve">IDMD. No. 2010 /08.03.011/ 2013-14 dt. 09.01.2014 </t>
  </si>
  <si>
    <r>
      <t xml:space="preserve">9.29% </t>
    </r>
    <r>
      <rPr>
        <sz val="14"/>
        <rFont val="Richa"/>
      </rPr>
      <t>fcgkj thŒ,lŒ] _.k 2024</t>
    </r>
  </si>
  <si>
    <t>2015-16</t>
  </si>
  <si>
    <t>01.04.2015</t>
  </si>
  <si>
    <t>o"kZ 2014&amp;15 ¼iqujhf{kr vuqeku½</t>
  </si>
  <si>
    <t>o"kZ 2015&amp;16 ¼ctV vuqeku½</t>
  </si>
  <si>
    <t>;ksx&amp; ¼2015&amp;16½</t>
  </si>
  <si>
    <r>
      <t xml:space="preserve">8.73% </t>
    </r>
    <r>
      <rPr>
        <sz val="14"/>
        <rFont val="Richa"/>
      </rPr>
      <t>fcgkj ,lŒMhŒ,yŒ] _.k 2024</t>
    </r>
  </si>
  <si>
    <t>IDMD. No.  851/08.03.011/ 2014-15 dt. 21.10.2014</t>
  </si>
  <si>
    <t>29.10.2014</t>
  </si>
  <si>
    <t>29vizSy@vDVwcj</t>
  </si>
  <si>
    <t>29.10.2024</t>
  </si>
  <si>
    <r>
      <t xml:space="preserve">8.45% </t>
    </r>
    <r>
      <rPr>
        <sz val="14"/>
        <rFont val="Richa"/>
      </rPr>
      <t>fcgkj ,lŒMhŒ,yŒ] _.k 2024</t>
    </r>
  </si>
  <si>
    <t>IDMD. No.  1109/08.03.011/ 2014-15 dt. 20.11.2014</t>
  </si>
  <si>
    <t>26.11.2014</t>
  </si>
  <si>
    <t>26ebZ@uoEcj</t>
  </si>
  <si>
    <r>
      <t xml:space="preserve">8.17% </t>
    </r>
    <r>
      <rPr>
        <sz val="14"/>
        <rFont val="Richa"/>
      </rPr>
      <t>fcgkj ,lŒMhŒ,yŒ] _.k 2024</t>
    </r>
  </si>
  <si>
    <t>26.11.2024</t>
  </si>
  <si>
    <t>10twu@fnlEcj</t>
  </si>
  <si>
    <t>10.12.2024</t>
  </si>
  <si>
    <t>23.01.2019</t>
  </si>
  <si>
    <t>'ks"k laHkkfor izkfIr</t>
  </si>
  <si>
    <t>30-09-14 dk vo'ks"k</t>
  </si>
  <si>
    <t>_.k laŒ</t>
  </si>
  <si>
    <t>N0006</t>
  </si>
  <si>
    <t>N0028</t>
  </si>
  <si>
    <t>N0030</t>
  </si>
  <si>
    <t>N0031</t>
  </si>
  <si>
    <t>N0032</t>
  </si>
  <si>
    <t>N0029</t>
  </si>
  <si>
    <t>N0039</t>
  </si>
  <si>
    <t>N0040</t>
  </si>
  <si>
    <t>N0027</t>
  </si>
  <si>
    <t>N0042</t>
  </si>
  <si>
    <t>N0044</t>
  </si>
  <si>
    <t>N0033</t>
  </si>
  <si>
    <t>N0034</t>
  </si>
  <si>
    <t>N0048</t>
  </si>
  <si>
    <t>N0049</t>
  </si>
  <si>
    <t>Hkkjrh; fjtoZ cSad] eqEcbZ ds i=kad 2140 fnuakd 05-11-2014</t>
  </si>
  <si>
    <t>IDMD. No. 1202/08.03.011/ 2014-15 dt.  04.12..2014</t>
  </si>
  <si>
    <r>
      <t xml:space="preserve">8.25% </t>
    </r>
    <r>
      <rPr>
        <sz val="14"/>
        <rFont val="Richa"/>
      </rPr>
      <t>fcgkj ,lŒMhŒ,yŒ] _.k 2024</t>
    </r>
  </si>
  <si>
    <t>IDMD. No. 1288/08.03.011/ 2014-15 dt.  18.12..2014</t>
  </si>
  <si>
    <t>24.12.2014</t>
  </si>
  <si>
    <t>24.12.2024</t>
  </si>
  <si>
    <t>IDMD. No. 1424/08.03.011/ 2014-15 dt.  08.01..2015</t>
  </si>
  <si>
    <t>14.01.2015</t>
  </si>
  <si>
    <t>14tqykbZ@tuojh</t>
  </si>
  <si>
    <t>14.01.2025</t>
  </si>
  <si>
    <r>
      <t xml:space="preserve">8.15% </t>
    </r>
    <r>
      <rPr>
        <sz val="14"/>
        <rFont val="Richa"/>
      </rPr>
      <t>fcgkj ,lŒMhŒ,yŒ] _.k 2025</t>
    </r>
  </si>
  <si>
    <r>
      <t xml:space="preserve">8.08% </t>
    </r>
    <r>
      <rPr>
        <sz val="14"/>
        <rFont val="Richa"/>
      </rPr>
      <t>fcgkj ,lŒMhŒ,yŒ] _.k 2025</t>
    </r>
  </si>
  <si>
    <t>IDMD. No. 1562/08.03.011/ 2014-15 dt.  22.01..2015</t>
  </si>
  <si>
    <t>28.01.2015</t>
  </si>
  <si>
    <t>28tqykbZ@tuojh</t>
  </si>
  <si>
    <t>28.01.2025</t>
  </si>
  <si>
    <t>18.02.2014</t>
  </si>
  <si>
    <t>20.02.2014</t>
  </si>
  <si>
    <t>21.02.2014</t>
  </si>
  <si>
    <t>03.03.2014</t>
  </si>
  <si>
    <t>05.03.2014</t>
  </si>
  <si>
    <t>07.03.2014</t>
  </si>
  <si>
    <t>10.03.2014</t>
  </si>
  <si>
    <t xml:space="preserve">NABARD (WIFI) </t>
  </si>
  <si>
    <t>11.03.2014</t>
  </si>
  <si>
    <t>12.03.2014</t>
  </si>
  <si>
    <t>13.03.2014</t>
  </si>
  <si>
    <t>25.03.2014</t>
  </si>
  <si>
    <t>26.03.2014</t>
  </si>
  <si>
    <t>27.03.2014</t>
  </si>
  <si>
    <t>28.03.2014</t>
  </si>
  <si>
    <t>02.07.2014</t>
  </si>
  <si>
    <t>03.07.2014</t>
  </si>
  <si>
    <t>07.07.2014</t>
  </si>
  <si>
    <t>16.07.2014</t>
  </si>
  <si>
    <t>21.07.2014</t>
  </si>
  <si>
    <t>22.07.2014</t>
  </si>
  <si>
    <t>21.08.2014</t>
  </si>
  <si>
    <t>26.08.2014</t>
  </si>
  <si>
    <t>27.08.2014</t>
  </si>
  <si>
    <t>28.08.2014</t>
  </si>
  <si>
    <t>10.09.2014</t>
  </si>
  <si>
    <t>11.09.2014</t>
  </si>
  <si>
    <t>17.09.2014</t>
  </si>
  <si>
    <t>18.09.2014</t>
  </si>
  <si>
    <t>22.09.2014</t>
  </si>
  <si>
    <t xml:space="preserve">NABARD (RIDF-XVII WI) </t>
  </si>
  <si>
    <t>24.09.2014</t>
  </si>
  <si>
    <t>21.10.2014</t>
  </si>
  <si>
    <t>22.10.2014</t>
  </si>
  <si>
    <t>27.10.2014</t>
  </si>
  <si>
    <t>10.11.2014</t>
  </si>
  <si>
    <t>11.11.2014</t>
  </si>
  <si>
    <t>13.11.2014</t>
  </si>
  <si>
    <t>17.11.2014</t>
  </si>
  <si>
    <t>27.11.2014</t>
  </si>
  <si>
    <t>03.12.2014</t>
  </si>
  <si>
    <t xml:space="preserve">NABARD (RIDF-XX) </t>
  </si>
  <si>
    <t>08.12.2014</t>
  </si>
  <si>
    <t>09.12.2014</t>
  </si>
  <si>
    <t>30.12.2014</t>
  </si>
  <si>
    <t>31.12.2014</t>
  </si>
  <si>
    <t>05.01.2015</t>
  </si>
  <si>
    <t xml:space="preserve">NABARD (RIDF-XVIII) -WI </t>
  </si>
  <si>
    <t>12.01.2015</t>
  </si>
  <si>
    <t>NABARD (RIDF-XVIII)</t>
  </si>
  <si>
    <t>15.01.2015</t>
  </si>
  <si>
    <t>20.01.2015</t>
  </si>
  <si>
    <t>03.02.2015</t>
  </si>
  <si>
    <t>05.02.2015</t>
  </si>
  <si>
    <r>
      <t xml:space="preserve">01-04-14 </t>
    </r>
    <r>
      <rPr>
        <b/>
        <sz val="12"/>
        <rFont val="Richa"/>
      </rPr>
      <t>¼egkys[kkdkj ds vk¡dM+sa ds vuqlkj½</t>
    </r>
  </si>
  <si>
    <r>
      <t xml:space="preserve">8.06% </t>
    </r>
    <r>
      <rPr>
        <sz val="14"/>
        <rFont val="Richa"/>
      </rPr>
      <t>fcgkj ,lŒMhŒ,yŒ] _.k 2025</t>
    </r>
  </si>
  <si>
    <t xml:space="preserve">IDMD. No.      /08.03.011/ 2014-15 dt.  </t>
  </si>
  <si>
    <t>11.02.2015</t>
  </si>
  <si>
    <t>11vxLr@Qjojh</t>
  </si>
  <si>
    <t>11.02.2025</t>
  </si>
  <si>
    <r>
      <t xml:space="preserve">01.04.2015 
</t>
    </r>
    <r>
      <rPr>
        <b/>
        <sz val="10"/>
        <rFont val="Richa"/>
      </rPr>
      <t>dks o"kZ 2014&amp;15 eas izkfIr ,oa O;; ds lek;kstu ds mijkar</t>
    </r>
  </si>
  <si>
    <t>_.k la0</t>
  </si>
  <si>
    <t>M0037</t>
  </si>
  <si>
    <t>M0038</t>
  </si>
  <si>
    <t>M0040</t>
  </si>
  <si>
    <t>M0039</t>
  </si>
  <si>
    <t>M0042</t>
  </si>
  <si>
    <t>M0043</t>
  </si>
  <si>
    <t>M0045</t>
  </si>
  <si>
    <t>M0044</t>
  </si>
  <si>
    <t>M0046</t>
  </si>
  <si>
    <t>M0048</t>
  </si>
  <si>
    <t>M0050</t>
  </si>
  <si>
    <t>M0049</t>
  </si>
  <si>
    <t>M0051</t>
  </si>
  <si>
    <t>M0052</t>
  </si>
  <si>
    <t>M0053</t>
  </si>
  <si>
    <t>M0054</t>
  </si>
  <si>
    <t>M0055</t>
  </si>
  <si>
    <t>M0056</t>
  </si>
  <si>
    <t>M0058</t>
  </si>
  <si>
    <t>M0057</t>
  </si>
  <si>
    <t>M0059</t>
  </si>
  <si>
    <t>M0060</t>
  </si>
  <si>
    <t>M0061</t>
  </si>
  <si>
    <t>M0062</t>
  </si>
  <si>
    <t>M0063</t>
  </si>
  <si>
    <t>M0064</t>
  </si>
  <si>
    <t>M0065</t>
  </si>
  <si>
    <t>M0066</t>
  </si>
  <si>
    <t>M0067</t>
  </si>
  <si>
    <t>M0068</t>
  </si>
  <si>
    <t>M0069</t>
  </si>
  <si>
    <t>M0070</t>
  </si>
  <si>
    <t>M0071</t>
  </si>
  <si>
    <t>M0072</t>
  </si>
  <si>
    <t>M0073</t>
  </si>
  <si>
    <t>M0074</t>
  </si>
  <si>
    <t>M0075</t>
  </si>
  <si>
    <t>M0076</t>
  </si>
  <si>
    <t>M0077</t>
  </si>
  <si>
    <t>M0078</t>
  </si>
  <si>
    <t>M0079</t>
  </si>
  <si>
    <t>M0080</t>
  </si>
  <si>
    <t>M0081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</si>
</sst>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5" formatCode="0;[Red]0"/>
  </numFmts>
  <fonts count="3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6"/>
      <name val="Richa"/>
    </font>
    <font>
      <b/>
      <sz val="18"/>
      <name val="Richa"/>
    </font>
    <font>
      <b/>
      <sz val="14"/>
      <name val="Richa"/>
    </font>
    <font>
      <b/>
      <sz val="10"/>
      <name val="Tahoma"/>
      <family val="2"/>
    </font>
    <font>
      <b/>
      <u/>
      <sz val="14"/>
      <name val="Richa"/>
    </font>
    <font>
      <sz val="14"/>
      <name val="Richa"/>
    </font>
    <font>
      <b/>
      <sz val="11"/>
      <name val="Times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b/>
      <sz val="20"/>
      <name val="Richa"/>
    </font>
    <font>
      <b/>
      <sz val="16"/>
      <name val="Richa"/>
    </font>
    <font>
      <b/>
      <sz val="12"/>
      <name val="Arial"/>
      <family val="2"/>
    </font>
    <font>
      <i/>
      <sz val="12"/>
      <name val="Arial"/>
      <family val="2"/>
    </font>
    <font>
      <sz val="12"/>
      <name val="Richa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4"/>
      <name val="Richa Wide"/>
    </font>
    <font>
      <b/>
      <sz val="10"/>
      <color rgb="FF00B050"/>
      <name val="Arial"/>
      <family val="2"/>
    </font>
    <font>
      <b/>
      <sz val="20"/>
      <color rgb="FFFF0000"/>
      <name val="Richa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2"/>
      <name val="Richa"/>
    </font>
    <font>
      <b/>
      <sz val="10"/>
      <name val="Richa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vertical="center"/>
    </xf>
    <xf numFmtId="10" fontId="1" fillId="0" borderId="1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right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vertical="center" wrapText="1"/>
    </xf>
    <xf numFmtId="165" fontId="8" fillId="0" borderId="1" xfId="0" applyNumberFormat="1" applyFont="1" applyBorder="1" applyAlignment="1">
      <alignment vertical="center" wrapText="1"/>
    </xf>
    <xf numFmtId="1" fontId="2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" fontId="1" fillId="0" borderId="1" xfId="0" applyNumberFormat="1" applyFont="1" applyBorder="1" applyAlignment="1">
      <alignment vertical="center" wrapText="1"/>
    </xf>
    <xf numFmtId="1" fontId="2" fillId="0" borderId="1" xfId="0" applyNumberFormat="1" applyFont="1" applyBorder="1" applyAlignment="1">
      <alignment horizontal="right" vertical="center"/>
    </xf>
    <xf numFmtId="1" fontId="2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vertical="center"/>
    </xf>
    <xf numFmtId="1" fontId="2" fillId="0" borderId="1" xfId="0" applyNumberFormat="1" applyFont="1" applyFill="1" applyBorder="1" applyAlignment="1">
      <alignment horizontal="right" vertical="center"/>
    </xf>
    <xf numFmtId="0" fontId="24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0" xfId="0" applyFont="1" applyFill="1" applyAlignment="1">
      <alignment vertical="center"/>
    </xf>
    <xf numFmtId="1" fontId="3" fillId="0" borderId="0" xfId="0" applyNumberFormat="1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14" fontId="2" fillId="0" borderId="1" xfId="0" applyNumberFormat="1" applyFont="1" applyBorder="1" applyAlignment="1">
      <alignment horizontal="center" vertical="center"/>
    </xf>
    <xf numFmtId="1" fontId="2" fillId="0" borderId="0" xfId="0" applyNumberFormat="1" applyFont="1" applyFill="1" applyAlignment="1">
      <alignment vertical="center"/>
    </xf>
    <xf numFmtId="1" fontId="2" fillId="0" borderId="0" xfId="0" applyNumberFormat="1" applyFont="1" applyBorder="1" applyAlignment="1">
      <alignment horizontal="right" vertical="center"/>
    </xf>
    <xf numFmtId="1" fontId="2" fillId="0" borderId="0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top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vertical="center" wrapText="1"/>
    </xf>
    <xf numFmtId="1" fontId="2" fillId="0" borderId="1" xfId="0" applyNumberFormat="1" applyFont="1" applyBorder="1" applyAlignment="1">
      <alignment horizontal="right" vertical="center" wrapText="1"/>
    </xf>
    <xf numFmtId="1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" fontId="22" fillId="0" borderId="1" xfId="0" applyNumberFormat="1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1" fontId="2" fillId="0" borderId="1" xfId="0" applyNumberFormat="1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horizontal="righ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vertical="center"/>
    </xf>
    <xf numFmtId="1" fontId="1" fillId="0" borderId="1" xfId="0" applyNumberFormat="1" applyFont="1" applyBorder="1" applyAlignment="1">
      <alignment horizontal="right" vertical="center"/>
    </xf>
    <xf numFmtId="0" fontId="26" fillId="0" borderId="0" xfId="0" applyFont="1" applyAlignment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vertical="center" wrapText="1"/>
    </xf>
    <xf numFmtId="1" fontId="1" fillId="0" borderId="1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3" fontId="1" fillId="0" borderId="0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11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top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1" fillId="2" borderId="1" xfId="0" applyFont="1" applyFill="1" applyBorder="1" applyAlignment="1">
      <alignment vertical="center" wrapText="1"/>
    </xf>
    <xf numFmtId="1" fontId="1" fillId="2" borderId="1" xfId="0" applyNumberFormat="1" applyFont="1" applyFill="1" applyBorder="1" applyAlignment="1">
      <alignment vertical="center"/>
    </xf>
    <xf numFmtId="0" fontId="25" fillId="0" borderId="0" xfId="0" applyFont="1" applyFill="1" applyAlignment="1">
      <alignment vertical="center"/>
    </xf>
    <xf numFmtId="0" fontId="25" fillId="0" borderId="0" xfId="0" applyFont="1" applyAlignment="1">
      <alignment vertical="center"/>
    </xf>
    <xf numFmtId="3" fontId="25" fillId="0" borderId="0" xfId="0" applyNumberFormat="1" applyFont="1" applyAlignment="1">
      <alignment vertical="center"/>
    </xf>
    <xf numFmtId="1" fontId="1" fillId="0" borderId="0" xfId="0" applyNumberFormat="1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14" fontId="28" fillId="0" borderId="1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right" vertical="center"/>
    </xf>
    <xf numFmtId="1" fontId="2" fillId="4" borderId="1" xfId="0" applyNumberFormat="1" applyFont="1" applyFill="1" applyBorder="1" applyAlignment="1">
      <alignment horizontal="right" vertical="center"/>
    </xf>
    <xf numFmtId="2" fontId="2" fillId="4" borderId="1" xfId="0" applyNumberFormat="1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1" fontId="1" fillId="4" borderId="1" xfId="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1" fillId="0" borderId="3" xfId="0" applyFont="1" applyBorder="1" applyAlignment="1">
      <alignment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" fontId="31" fillId="0" borderId="0" xfId="0" applyNumberFormat="1" applyFont="1" applyAlignment="1">
      <alignment vertical="center"/>
    </xf>
    <xf numFmtId="0" fontId="31" fillId="0" borderId="0" xfId="0" applyFont="1" applyFill="1" applyAlignment="1">
      <alignment vertical="center"/>
    </xf>
    <xf numFmtId="2" fontId="1" fillId="0" borderId="0" xfId="0" applyNumberFormat="1" applyFont="1" applyAlignment="1">
      <alignment vertical="center"/>
    </xf>
    <xf numFmtId="0" fontId="30" fillId="0" borderId="0" xfId="0" applyFont="1" applyAlignment="1">
      <alignment vertical="center"/>
    </xf>
    <xf numFmtId="3" fontId="2" fillId="0" borderId="1" xfId="0" applyNumberFormat="1" applyFont="1" applyFill="1" applyBorder="1" applyAlignment="1">
      <alignment horizontal="right" vertical="center" wrapText="1"/>
    </xf>
    <xf numFmtId="3" fontId="1" fillId="0" borderId="0" xfId="0" applyNumberFormat="1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7" fillId="0" borderId="8" xfId="0" applyFont="1" applyBorder="1" applyAlignment="1">
      <alignment vertical="center"/>
    </xf>
    <xf numFmtId="0" fontId="27" fillId="0" borderId="9" xfId="0" applyFont="1" applyBorder="1" applyAlignment="1">
      <alignment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14" enableFormatConditionsCalculation="0">
    <tabColor rgb="FF00B050"/>
  </sheetPr>
  <dimension ref="A1:O39"/>
  <sheetViews>
    <sheetView view="pageBreakPreview" zoomScaleNormal="115" zoomScaleSheetLayoutView="100" workbookViewId="0">
      <pane xSplit="3" ySplit="7" topLeftCell="D8" activePane="bottomRight" state="frozen"/>
      <selection activeCell="C13" sqref="C13"/>
      <selection pane="topRight" activeCell="C13" sqref="C13"/>
      <selection pane="bottomLeft" activeCell="C13" sqref="C13"/>
      <selection pane="bottomRight" activeCell="K3" sqref="K3"/>
    </sheetView>
  </sheetViews>
  <sheetFormatPr defaultRowHeight="12.75" x14ac:dyDescent="0.2"/>
  <cols>
    <col min="1" max="1" width="7.7109375" style="2" customWidth="1"/>
    <col min="2" max="2" width="50.5703125" style="2" customWidth="1"/>
    <col min="3" max="3" width="15.42578125" style="128" customWidth="1"/>
    <col min="4" max="4" width="13.7109375" style="2" customWidth="1"/>
    <col min="5" max="5" width="12.7109375" style="2" bestFit="1" customWidth="1"/>
    <col min="6" max="6" width="14" style="2" customWidth="1"/>
    <col min="7" max="7" width="13.42578125" style="2" customWidth="1"/>
    <col min="8" max="8" width="13" style="2" customWidth="1"/>
    <col min="9" max="16384" width="9.140625" style="2"/>
  </cols>
  <sheetData>
    <row r="1" spans="1:15" ht="28.5" x14ac:dyDescent="0.2">
      <c r="A1" s="168" t="s">
        <v>139</v>
      </c>
      <c r="B1" s="168"/>
      <c r="C1" s="168"/>
      <c r="D1" s="168"/>
      <c r="E1" s="168"/>
      <c r="F1" s="168"/>
      <c r="G1" s="168"/>
      <c r="H1" s="168"/>
    </row>
    <row r="2" spans="1:15" s="66" customFormat="1" ht="28.5" customHeight="1" x14ac:dyDescent="0.2">
      <c r="A2" s="174" t="s">
        <v>97</v>
      </c>
      <c r="B2" s="174"/>
      <c r="C2" s="169" t="s">
        <v>60</v>
      </c>
      <c r="D2" s="170"/>
      <c r="E2" s="175" t="s">
        <v>61</v>
      </c>
      <c r="F2" s="175"/>
      <c r="G2" s="175" t="s">
        <v>62</v>
      </c>
      <c r="H2" s="175"/>
    </row>
    <row r="3" spans="1:15" s="66" customFormat="1" ht="66.75" x14ac:dyDescent="0.2">
      <c r="A3" s="174"/>
      <c r="B3" s="174"/>
      <c r="C3" s="160" t="s">
        <v>796</v>
      </c>
      <c r="D3" s="167" t="s">
        <v>802</v>
      </c>
      <c r="E3" s="115" t="s">
        <v>597</v>
      </c>
      <c r="F3" s="115" t="s">
        <v>689</v>
      </c>
      <c r="G3" s="115" t="s">
        <v>597</v>
      </c>
      <c r="H3" s="115" t="s">
        <v>689</v>
      </c>
    </row>
    <row r="4" spans="1:15" s="116" customFormat="1" ht="20.25" customHeight="1" x14ac:dyDescent="0.2">
      <c r="A4" s="173">
        <v>1</v>
      </c>
      <c r="B4" s="173"/>
      <c r="C4" s="159">
        <v>2</v>
      </c>
      <c r="D4" s="159">
        <v>3</v>
      </c>
      <c r="E4" s="159">
        <v>4</v>
      </c>
      <c r="F4" s="159">
        <v>5</v>
      </c>
      <c r="G4" s="159">
        <v>6</v>
      </c>
      <c r="H4" s="159">
        <v>7</v>
      </c>
    </row>
    <row r="5" spans="1:15" s="66" customFormat="1" ht="21" x14ac:dyDescent="0.2">
      <c r="A5" s="117" t="s">
        <v>138</v>
      </c>
      <c r="B5" s="118" t="s">
        <v>139</v>
      </c>
      <c r="C5" s="93"/>
      <c r="D5" s="93"/>
      <c r="E5" s="93"/>
      <c r="F5" s="93"/>
      <c r="G5" s="93"/>
      <c r="H5" s="93"/>
    </row>
    <row r="6" spans="1:15" s="66" customFormat="1" ht="16.5" customHeight="1" x14ac:dyDescent="0.2">
      <c r="A6" s="63">
        <v>101</v>
      </c>
      <c r="B6" s="119" t="s">
        <v>140</v>
      </c>
      <c r="C6" s="93"/>
      <c r="D6" s="93"/>
      <c r="E6" s="93"/>
      <c r="F6" s="93"/>
      <c r="G6" s="93"/>
      <c r="H6" s="93"/>
    </row>
    <row r="7" spans="1:15" s="66" customFormat="1" ht="21" x14ac:dyDescent="0.2">
      <c r="A7" s="120"/>
      <c r="B7" s="119" t="s">
        <v>141</v>
      </c>
      <c r="C7" s="90">
        <v>312843280000</v>
      </c>
      <c r="D7" s="90">
        <f>'Market_Loan-Bearing'!L58</f>
        <v>389873100000</v>
      </c>
      <c r="E7" s="90">
        <f>'Market_Loan-Bearing'!N58</f>
        <v>14334680000</v>
      </c>
      <c r="F7" s="90">
        <f>'Market_Loan-Bearing'!O58</f>
        <v>12668850000</v>
      </c>
      <c r="G7" s="90">
        <f>'Market_Loan-Bearing'!Q58</f>
        <v>26447510710</v>
      </c>
      <c r="H7" s="90">
        <f>'Market_Loan-Bearing'!R58</f>
        <v>34239717000</v>
      </c>
      <c r="I7" s="73"/>
    </row>
    <row r="8" spans="1:15" s="66" customFormat="1" ht="21" x14ac:dyDescent="0.2">
      <c r="A8" s="120"/>
      <c r="B8" s="119" t="s">
        <v>142</v>
      </c>
      <c r="C8" s="93">
        <v>2252000</v>
      </c>
      <c r="D8" s="90">
        <f>'Market_Loan-Not Bearing'!P20</f>
        <v>3013900</v>
      </c>
      <c r="E8" s="90">
        <f>14337696000-E7</f>
        <v>3016000</v>
      </c>
      <c r="F8" s="90">
        <f>12671866000-F7</f>
        <v>3016000</v>
      </c>
      <c r="G8" s="93"/>
      <c r="H8" s="93"/>
    </row>
    <row r="9" spans="1:15" s="104" customFormat="1" ht="20.25" customHeight="1" x14ac:dyDescent="0.2">
      <c r="A9" s="125"/>
      <c r="B9" s="126" t="s">
        <v>194</v>
      </c>
      <c r="C9" s="127">
        <f t="shared" ref="C9:H9" si="0">SUM(C7:C8)</f>
        <v>312845532000</v>
      </c>
      <c r="D9" s="127">
        <f t="shared" si="0"/>
        <v>389876113900</v>
      </c>
      <c r="E9" s="127">
        <f t="shared" si="0"/>
        <v>14337696000</v>
      </c>
      <c r="F9" s="127">
        <f t="shared" si="0"/>
        <v>12671866000</v>
      </c>
      <c r="G9" s="127">
        <f t="shared" si="0"/>
        <v>26447510710</v>
      </c>
      <c r="H9" s="127">
        <f t="shared" si="0"/>
        <v>34239717000</v>
      </c>
    </row>
    <row r="10" spans="1:15" s="66" customFormat="1" ht="21" x14ac:dyDescent="0.2">
      <c r="A10" s="63">
        <v>103</v>
      </c>
      <c r="B10" s="119" t="s">
        <v>143</v>
      </c>
      <c r="C10" s="90">
        <v>215515000</v>
      </c>
      <c r="D10" s="90">
        <f>C10</f>
        <v>215515000</v>
      </c>
      <c r="E10" s="90"/>
      <c r="F10" s="90"/>
      <c r="G10" s="90"/>
      <c r="H10" s="90"/>
      <c r="I10" s="73"/>
    </row>
    <row r="11" spans="1:15" s="66" customFormat="1" ht="21" x14ac:dyDescent="0.2">
      <c r="A11" s="63">
        <v>104</v>
      </c>
      <c r="B11" s="119" t="s">
        <v>144</v>
      </c>
      <c r="C11" s="90">
        <v>-12708000</v>
      </c>
      <c r="D11" s="90">
        <f>C11</f>
        <v>-12708000</v>
      </c>
      <c r="E11" s="90"/>
      <c r="F11" s="90"/>
      <c r="G11" s="90"/>
      <c r="H11" s="90"/>
    </row>
    <row r="12" spans="1:15" s="66" customFormat="1" ht="21" x14ac:dyDescent="0.2">
      <c r="A12" s="63">
        <v>105</v>
      </c>
      <c r="B12" s="119" t="s">
        <v>145</v>
      </c>
      <c r="C12" s="90">
        <v>40119599000</v>
      </c>
      <c r="D12" s="90">
        <f>'Final Yearwise Summ of NABARD'!S1296</f>
        <v>43212668000</v>
      </c>
      <c r="E12" s="90">
        <f>'Final Yearwise Summ of NABARD'!U1296</f>
        <v>5225054800</v>
      </c>
      <c r="F12" s="90">
        <f>'Final Yearwise Summ of NABARD'!Z1296</f>
        <v>6435865400</v>
      </c>
      <c r="G12" s="90">
        <f>'Final Yearwise Summ of NABARD'!AB1296</f>
        <v>3442100000.0684929</v>
      </c>
      <c r="H12" s="90">
        <f>'Final Yearwise Summ of NABARD'!AC1296</f>
        <v>4000000000</v>
      </c>
      <c r="I12" s="102"/>
      <c r="J12" s="102"/>
      <c r="K12" s="102"/>
      <c r="L12" s="102"/>
      <c r="M12" s="102"/>
      <c r="N12" s="102"/>
      <c r="O12" s="99"/>
    </row>
    <row r="13" spans="1:15" s="66" customFormat="1" ht="21" x14ac:dyDescent="0.2">
      <c r="A13" s="63">
        <v>106</v>
      </c>
      <c r="B13" s="119" t="s">
        <v>146</v>
      </c>
      <c r="C13" s="93"/>
      <c r="D13" s="93"/>
      <c r="E13" s="93"/>
      <c r="F13" s="93"/>
      <c r="G13" s="93"/>
      <c r="H13" s="93"/>
    </row>
    <row r="14" spans="1:15" s="66" customFormat="1" ht="26.25" customHeight="1" x14ac:dyDescent="0.2">
      <c r="A14" s="121" t="s">
        <v>195</v>
      </c>
      <c r="B14" s="119" t="s">
        <v>196</v>
      </c>
      <c r="C14" s="90">
        <v>192736000</v>
      </c>
      <c r="D14" s="90">
        <f>'Zamindari Bond'!H6</f>
        <v>171736000</v>
      </c>
      <c r="E14" s="90">
        <f>'Zamindari Bond'!I6</f>
        <v>21000000</v>
      </c>
      <c r="F14" s="90">
        <f>'Zamindari Bond'!J6</f>
        <v>21000000</v>
      </c>
      <c r="G14" s="90">
        <f>'Zamindari Bond'!K6</f>
        <v>5000000</v>
      </c>
      <c r="H14" s="90">
        <f>'Zamindari Bond'!L6</f>
        <v>5000000</v>
      </c>
    </row>
    <row r="15" spans="1:15" s="66" customFormat="1" ht="17.25" customHeight="1" x14ac:dyDescent="0.2">
      <c r="A15" s="121" t="s">
        <v>198</v>
      </c>
      <c r="B15" s="119" t="s">
        <v>197</v>
      </c>
      <c r="C15" s="90">
        <v>4151220000</v>
      </c>
      <c r="D15" s="90">
        <f>'Final Power Bond'!I15</f>
        <v>2075610000</v>
      </c>
      <c r="E15" s="90">
        <f>'Final Power Bond'!K15</f>
        <v>2075610000</v>
      </c>
      <c r="F15" s="90">
        <f>'Final Power Bond'!K15</f>
        <v>2075610000</v>
      </c>
      <c r="G15" s="90">
        <f>'Final Power Bond'!N15</f>
        <v>396960412.5</v>
      </c>
      <c r="H15" s="90">
        <f>'Final Power Bond'!O15</f>
        <v>220533562.5</v>
      </c>
    </row>
    <row r="16" spans="1:15" s="66" customFormat="1" ht="17.25" customHeight="1" x14ac:dyDescent="0.2">
      <c r="A16" s="121"/>
      <c r="B16" s="118" t="s">
        <v>199</v>
      </c>
      <c r="C16" s="98">
        <f t="shared" ref="C16:H16" si="1">SUM(C14:C15)</f>
        <v>4343956000</v>
      </c>
      <c r="D16" s="98">
        <f t="shared" si="1"/>
        <v>2247346000</v>
      </c>
      <c r="E16" s="98">
        <f t="shared" si="1"/>
        <v>2096610000</v>
      </c>
      <c r="F16" s="98">
        <f t="shared" si="1"/>
        <v>2096610000</v>
      </c>
      <c r="G16" s="98">
        <f t="shared" si="1"/>
        <v>401960412.5</v>
      </c>
      <c r="H16" s="98">
        <f t="shared" si="1"/>
        <v>225533562.5</v>
      </c>
    </row>
    <row r="17" spans="1:9" s="66" customFormat="1" ht="32.1" customHeight="1" x14ac:dyDescent="0.2">
      <c r="A17" s="63">
        <v>107</v>
      </c>
      <c r="B17" s="119" t="s">
        <v>147</v>
      </c>
      <c r="C17" s="93"/>
      <c r="D17" s="90"/>
      <c r="E17" s="93"/>
      <c r="F17" s="93"/>
      <c r="G17" s="93"/>
      <c r="H17" s="93"/>
    </row>
    <row r="18" spans="1:9" s="66" customFormat="1" ht="20.25" customHeight="1" x14ac:dyDescent="0.2">
      <c r="A18" s="121" t="s">
        <v>200</v>
      </c>
      <c r="B18" s="119" t="s">
        <v>148</v>
      </c>
      <c r="C18" s="93">
        <v>-1200000</v>
      </c>
      <c r="D18" s="93">
        <v>-1200000</v>
      </c>
      <c r="E18" s="93"/>
      <c r="F18" s="93"/>
      <c r="G18" s="93"/>
      <c r="H18" s="93"/>
    </row>
    <row r="19" spans="1:9" s="66" customFormat="1" ht="20.25" customHeight="1" x14ac:dyDescent="0.2">
      <c r="A19" s="121"/>
      <c r="B19" s="118" t="s">
        <v>201</v>
      </c>
      <c r="C19" s="117">
        <f t="shared" ref="C19:H19" si="2">C18</f>
        <v>-1200000</v>
      </c>
      <c r="D19" s="117">
        <f>D18</f>
        <v>-1200000</v>
      </c>
      <c r="E19" s="117">
        <f t="shared" si="2"/>
        <v>0</v>
      </c>
      <c r="F19" s="117">
        <f t="shared" si="2"/>
        <v>0</v>
      </c>
      <c r="G19" s="117">
        <f t="shared" si="2"/>
        <v>0</v>
      </c>
      <c r="H19" s="117">
        <f t="shared" si="2"/>
        <v>0</v>
      </c>
    </row>
    <row r="20" spans="1:9" s="66" customFormat="1" ht="32.25" customHeight="1" x14ac:dyDescent="0.2">
      <c r="A20" s="63">
        <v>108</v>
      </c>
      <c r="B20" s="119" t="s">
        <v>149</v>
      </c>
      <c r="C20" s="93"/>
      <c r="D20" s="93"/>
      <c r="E20" s="93"/>
      <c r="F20" s="93"/>
      <c r="G20" s="93"/>
      <c r="H20" s="93"/>
    </row>
    <row r="21" spans="1:9" s="66" customFormat="1" ht="42" x14ac:dyDescent="0.2">
      <c r="A21" s="121" t="s">
        <v>200</v>
      </c>
      <c r="B21" s="119" t="s">
        <v>150</v>
      </c>
      <c r="C21" s="90">
        <v>1081245000</v>
      </c>
      <c r="D21" s="90">
        <f>1081245000-E21</f>
        <v>912466000</v>
      </c>
      <c r="E21" s="93">
        <f>168779000</f>
        <v>168779000</v>
      </c>
      <c r="F21" s="93">
        <f>190000000</f>
        <v>190000000</v>
      </c>
      <c r="G21" s="93">
        <f>160537000</f>
        <v>160537000</v>
      </c>
      <c r="H21" s="93">
        <f>180000000</f>
        <v>180000000</v>
      </c>
    </row>
    <row r="22" spans="1:9" s="66" customFormat="1" ht="42" x14ac:dyDescent="0.2">
      <c r="A22" s="121"/>
      <c r="B22" s="118" t="s">
        <v>202</v>
      </c>
      <c r="C22" s="117">
        <f t="shared" ref="C22:H22" si="3">C21</f>
        <v>1081245000</v>
      </c>
      <c r="D22" s="98">
        <f t="shared" si="3"/>
        <v>912466000</v>
      </c>
      <c r="E22" s="98">
        <f t="shared" si="3"/>
        <v>168779000</v>
      </c>
      <c r="F22" s="98">
        <f t="shared" si="3"/>
        <v>190000000</v>
      </c>
      <c r="G22" s="98">
        <f t="shared" si="3"/>
        <v>160537000</v>
      </c>
      <c r="H22" s="98">
        <f t="shared" si="3"/>
        <v>180000000</v>
      </c>
    </row>
    <row r="23" spans="1:9" s="66" customFormat="1" ht="19.5" customHeight="1" x14ac:dyDescent="0.2">
      <c r="A23" s="63">
        <v>109</v>
      </c>
      <c r="B23" s="119" t="s">
        <v>151</v>
      </c>
      <c r="C23" s="93"/>
      <c r="D23" s="93"/>
      <c r="E23" s="93"/>
      <c r="F23" s="93"/>
      <c r="G23" s="93"/>
      <c r="H23" s="93"/>
    </row>
    <row r="24" spans="1:9" s="66" customFormat="1" ht="21" x14ac:dyDescent="0.2">
      <c r="A24" s="121" t="s">
        <v>195</v>
      </c>
      <c r="B24" s="119" t="s">
        <v>157</v>
      </c>
      <c r="C24" s="90">
        <v>-14297000</v>
      </c>
      <c r="D24" s="90">
        <v>-14297000</v>
      </c>
      <c r="E24" s="90">
        <v>1000</v>
      </c>
      <c r="F24" s="90">
        <v>1000</v>
      </c>
      <c r="G24" s="90">
        <v>0</v>
      </c>
      <c r="H24" s="90">
        <v>0</v>
      </c>
    </row>
    <row r="25" spans="1:9" s="66" customFormat="1" ht="21" x14ac:dyDescent="0.2">
      <c r="A25" s="121" t="s">
        <v>198</v>
      </c>
      <c r="B25" s="119" t="s">
        <v>153</v>
      </c>
      <c r="C25" s="93">
        <v>8000</v>
      </c>
      <c r="D25" s="90">
        <f t="shared" ref="D25:D28" si="4">C25</f>
        <v>8000</v>
      </c>
      <c r="E25" s="93"/>
      <c r="F25" s="93"/>
      <c r="G25" s="93"/>
      <c r="H25" s="93"/>
    </row>
    <row r="26" spans="1:9" s="66" customFormat="1" ht="21" x14ac:dyDescent="0.2">
      <c r="A26" s="121" t="s">
        <v>203</v>
      </c>
      <c r="B26" s="119" t="s">
        <v>154</v>
      </c>
      <c r="C26" s="93">
        <v>598000</v>
      </c>
      <c r="D26" s="90">
        <f t="shared" si="4"/>
        <v>598000</v>
      </c>
      <c r="E26" s="93"/>
      <c r="F26" s="93"/>
      <c r="G26" s="93"/>
      <c r="H26" s="93"/>
    </row>
    <row r="27" spans="1:9" s="66" customFormat="1" ht="21" x14ac:dyDescent="0.2">
      <c r="A27" s="121" t="s">
        <v>204</v>
      </c>
      <c r="B27" s="119" t="s">
        <v>155</v>
      </c>
      <c r="C27" s="93">
        <v>175000</v>
      </c>
      <c r="D27" s="90">
        <f t="shared" si="4"/>
        <v>175000</v>
      </c>
      <c r="E27" s="93"/>
      <c r="F27" s="93"/>
      <c r="G27" s="93"/>
      <c r="H27" s="93"/>
    </row>
    <row r="28" spans="1:9" s="66" customFormat="1" ht="21" x14ac:dyDescent="0.2">
      <c r="A28" s="121" t="s">
        <v>205</v>
      </c>
      <c r="B28" s="119" t="s">
        <v>156</v>
      </c>
      <c r="C28" s="93">
        <v>299000</v>
      </c>
      <c r="D28" s="90">
        <f t="shared" si="4"/>
        <v>299000</v>
      </c>
      <c r="E28" s="93"/>
      <c r="F28" s="93"/>
      <c r="G28" s="93"/>
      <c r="H28" s="93"/>
    </row>
    <row r="29" spans="1:9" s="66" customFormat="1" ht="21" x14ac:dyDescent="0.2">
      <c r="A29" s="121" t="s">
        <v>206</v>
      </c>
      <c r="B29" s="119" t="s">
        <v>158</v>
      </c>
      <c r="C29" s="90">
        <v>-1255000</v>
      </c>
      <c r="D29" s="90">
        <v>-1255000</v>
      </c>
      <c r="E29" s="90"/>
      <c r="F29" s="90"/>
      <c r="G29" s="90"/>
      <c r="H29" s="90"/>
      <c r="I29" s="73"/>
    </row>
    <row r="30" spans="1:9" s="66" customFormat="1" ht="21" x14ac:dyDescent="0.2">
      <c r="A30" s="121" t="s">
        <v>207</v>
      </c>
      <c r="B30" s="119" t="s">
        <v>152</v>
      </c>
      <c r="C30" s="93">
        <v>24420000</v>
      </c>
      <c r="D30" s="90">
        <f>C30</f>
        <v>24420000</v>
      </c>
      <c r="E30" s="93"/>
      <c r="F30" s="93"/>
      <c r="G30" s="93"/>
      <c r="H30" s="93"/>
    </row>
    <row r="31" spans="1:9" s="66" customFormat="1" ht="21" x14ac:dyDescent="0.2">
      <c r="A31" s="121"/>
      <c r="B31" s="118" t="s">
        <v>208</v>
      </c>
      <c r="C31" s="98">
        <f t="shared" ref="C31:H31" si="5">SUM(C24:C30)</f>
        <v>9948000</v>
      </c>
      <c r="D31" s="98">
        <f t="shared" si="5"/>
        <v>9948000</v>
      </c>
      <c r="E31" s="98">
        <f t="shared" si="5"/>
        <v>1000</v>
      </c>
      <c r="F31" s="98">
        <f t="shared" si="5"/>
        <v>1000</v>
      </c>
      <c r="G31" s="98">
        <f t="shared" si="5"/>
        <v>0</v>
      </c>
      <c r="H31" s="98">
        <f t="shared" si="5"/>
        <v>0</v>
      </c>
    </row>
    <row r="32" spans="1:9" s="66" customFormat="1" ht="30" customHeight="1" x14ac:dyDescent="0.2">
      <c r="A32" s="63">
        <v>110</v>
      </c>
      <c r="B32" s="118" t="s">
        <v>159</v>
      </c>
      <c r="C32" s="117">
        <v>0</v>
      </c>
      <c r="D32" s="93">
        <v>0</v>
      </c>
      <c r="E32" s="93"/>
      <c r="F32" s="93"/>
      <c r="G32" s="93"/>
      <c r="H32" s="93"/>
    </row>
    <row r="33" spans="1:9" s="66" customFormat="1" ht="41.25" customHeight="1" x14ac:dyDescent="0.2">
      <c r="A33" s="63">
        <v>111</v>
      </c>
      <c r="B33" s="119" t="s">
        <v>160</v>
      </c>
      <c r="C33" s="90">
        <v>197564623000</v>
      </c>
      <c r="D33" s="90">
        <f>'Summary-SamllSaving(NSSF)'!J49</f>
        <v>204222051000</v>
      </c>
      <c r="E33" s="90">
        <f>'Summary-SamllSaving(NSSF)'!L49</f>
        <v>7946200000</v>
      </c>
      <c r="F33" s="90">
        <f>'Summary-SamllSaving(NSSF)'!M49</f>
        <v>10371985000</v>
      </c>
      <c r="G33" s="90">
        <f>'Summary-SamllSaving(NSSF)'!O49</f>
        <v>19064438495</v>
      </c>
      <c r="H33" s="90">
        <f>'Summary-SamllSaving(NSSF)'!P49</f>
        <v>19708164495</v>
      </c>
      <c r="I33" s="73"/>
    </row>
    <row r="34" spans="1:9" s="66" customFormat="1" ht="19.5" customHeight="1" x14ac:dyDescent="0.2">
      <c r="A34" s="63">
        <v>800</v>
      </c>
      <c r="B34" s="119" t="s">
        <v>161</v>
      </c>
      <c r="C34" s="93">
        <v>74527000</v>
      </c>
      <c r="D34" s="90">
        <f>C34</f>
        <v>74527000</v>
      </c>
      <c r="E34" s="93"/>
      <c r="F34" s="93"/>
      <c r="G34" s="93"/>
      <c r="H34" s="93"/>
    </row>
    <row r="35" spans="1:9" s="66" customFormat="1" ht="18.75" customHeight="1" x14ac:dyDescent="0.2">
      <c r="A35" s="122"/>
      <c r="B35" s="123" t="s">
        <v>209</v>
      </c>
      <c r="C35" s="98">
        <f>C34+C33+C32+C31+C22+C19+C16+C10+C11+C12+C9</f>
        <v>556241037000</v>
      </c>
      <c r="D35" s="98">
        <f t="shared" ref="D35:H35" si="6">D34+D33+D32+D31+D22+D19+D16+D10+D11+D12+D9</f>
        <v>640756726900</v>
      </c>
      <c r="E35" s="98">
        <f t="shared" si="6"/>
        <v>29774340800</v>
      </c>
      <c r="F35" s="98">
        <f t="shared" si="6"/>
        <v>31766327400</v>
      </c>
      <c r="G35" s="98">
        <f t="shared" si="6"/>
        <v>49516546617.568497</v>
      </c>
      <c r="H35" s="98">
        <f t="shared" si="6"/>
        <v>58353415057.5</v>
      </c>
    </row>
    <row r="36" spans="1:9" s="66" customFormat="1" ht="22.5" customHeight="1" x14ac:dyDescent="0.2">
      <c r="A36" s="124" t="s">
        <v>188</v>
      </c>
      <c r="B36" s="171" t="s">
        <v>189</v>
      </c>
      <c r="C36" s="171"/>
      <c r="D36" s="171"/>
      <c r="E36" s="171"/>
      <c r="F36" s="171"/>
      <c r="G36" s="171"/>
      <c r="H36" s="172"/>
    </row>
    <row r="38" spans="1:9" x14ac:dyDescent="0.2">
      <c r="E38" s="35"/>
    </row>
    <row r="39" spans="1:9" x14ac:dyDescent="0.2">
      <c r="G39" s="35"/>
    </row>
  </sheetData>
  <mergeCells count="7">
    <mergeCell ref="A1:H1"/>
    <mergeCell ref="C2:D2"/>
    <mergeCell ref="B36:H36"/>
    <mergeCell ref="A4:B4"/>
    <mergeCell ref="A2:B3"/>
    <mergeCell ref="E2:F2"/>
    <mergeCell ref="G2:H2"/>
  </mergeCells>
  <phoneticPr fontId="0" type="noConversion"/>
  <printOptions horizontalCentered="1"/>
  <pageMargins left="0.43307086614173201" right="0" top="0.55000000000000004" bottom="0.28999999999999998" header="0" footer="0.21"/>
  <pageSetup scale="95" pageOrder="overThenDown" orientation="landscape" useFirstPageNumber="1" r:id="rId1"/>
  <headerFooter alignWithMargins="0">
    <oddHeader xml:space="preserve">&amp;L
&amp;R
</oddHeader>
    <oddFooter>&amp;C&amp;P</oddFooter>
  </headerFooter>
  <rowBreaks count="1" manualBreakCount="1">
    <brk id="20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R90"/>
  <sheetViews>
    <sheetView view="pageBreakPreview" zoomScaleSheetLayoutView="100" workbookViewId="0">
      <pane xSplit="4" ySplit="4" topLeftCell="E5" activePane="bottomRight" state="frozen"/>
      <selection activeCell="D41" sqref="D41"/>
      <selection pane="topRight" activeCell="D41" sqref="D41"/>
      <selection pane="bottomLeft" activeCell="D41" sqref="D41"/>
      <selection pane="bottomRight" activeCell="D2" sqref="D2:D3"/>
    </sheetView>
  </sheetViews>
  <sheetFormatPr defaultRowHeight="15" x14ac:dyDescent="0.2"/>
  <cols>
    <col min="1" max="1" width="7.5703125" style="14" bestFit="1" customWidth="1"/>
    <col min="2" max="2" width="7.5703125" style="14" customWidth="1"/>
    <col min="3" max="3" width="31.28515625" style="14" customWidth="1"/>
    <col min="4" max="4" width="21.28515625" style="14" customWidth="1"/>
    <col min="5" max="5" width="10" style="14" customWidth="1"/>
    <col min="6" max="6" width="14.5703125" style="14" customWidth="1"/>
    <col min="7" max="7" width="11" style="14" customWidth="1"/>
    <col min="8" max="8" width="17" style="14" bestFit="1" customWidth="1"/>
    <col min="9" max="9" width="10.7109375" style="14" customWidth="1"/>
    <col min="10" max="10" width="0.140625" style="14" customWidth="1"/>
    <col min="11" max="11" width="13.140625" style="14" bestFit="1" customWidth="1"/>
    <col min="12" max="12" width="13.140625" style="14" customWidth="1"/>
    <col min="13" max="13" width="0.140625" style="14" customWidth="1"/>
    <col min="14" max="14" width="12" style="14" bestFit="1" customWidth="1"/>
    <col min="15" max="15" width="12" style="14" customWidth="1"/>
    <col min="16" max="16" width="9.28515625" style="14" hidden="1" customWidth="1"/>
    <col min="17" max="17" width="12.42578125" style="14" bestFit="1" customWidth="1"/>
    <col min="18" max="18" width="13.28515625" style="14" customWidth="1"/>
    <col min="19" max="16384" width="9.140625" style="14"/>
  </cols>
  <sheetData>
    <row r="1" spans="1:18" ht="24" x14ac:dyDescent="0.2">
      <c r="A1" s="177" t="s">
        <v>51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s="2" customFormat="1" ht="25.5" customHeight="1" x14ac:dyDescent="0.2">
      <c r="A2" s="176" t="s">
        <v>52</v>
      </c>
      <c r="B2" s="178" t="s">
        <v>803</v>
      </c>
      <c r="C2" s="176" t="s">
        <v>53</v>
      </c>
      <c r="D2" s="176" t="s">
        <v>65</v>
      </c>
      <c r="E2" s="176" t="s">
        <v>54</v>
      </c>
      <c r="F2" s="176" t="s">
        <v>55</v>
      </c>
      <c r="G2" s="176" t="s">
        <v>56</v>
      </c>
      <c r="H2" s="176" t="s">
        <v>58</v>
      </c>
      <c r="I2" s="176" t="s">
        <v>59</v>
      </c>
      <c r="J2" s="176" t="s">
        <v>60</v>
      </c>
      <c r="K2" s="176"/>
      <c r="L2" s="176"/>
      <c r="M2" s="176" t="s">
        <v>61</v>
      </c>
      <c r="N2" s="176"/>
      <c r="O2" s="176"/>
      <c r="P2" s="176" t="s">
        <v>62</v>
      </c>
      <c r="Q2" s="176"/>
      <c r="R2" s="176"/>
    </row>
    <row r="3" spans="1:18" s="2" customFormat="1" ht="45" customHeight="1" x14ac:dyDescent="0.2">
      <c r="A3" s="176"/>
      <c r="B3" s="179"/>
      <c r="C3" s="176"/>
      <c r="D3" s="176"/>
      <c r="E3" s="176"/>
      <c r="F3" s="176"/>
      <c r="G3" s="176"/>
      <c r="H3" s="176"/>
      <c r="I3" s="176"/>
      <c r="J3" s="134" t="s">
        <v>494</v>
      </c>
      <c r="K3" s="137" t="s">
        <v>596</v>
      </c>
      <c r="L3" s="137" t="s">
        <v>690</v>
      </c>
      <c r="M3" s="166" t="s">
        <v>536</v>
      </c>
      <c r="N3" s="166" t="s">
        <v>597</v>
      </c>
      <c r="O3" s="166" t="s">
        <v>689</v>
      </c>
      <c r="P3" s="166" t="s">
        <v>536</v>
      </c>
      <c r="Q3" s="166" t="s">
        <v>597</v>
      </c>
      <c r="R3" s="166" t="s">
        <v>689</v>
      </c>
    </row>
    <row r="4" spans="1:18" s="2" customFormat="1" ht="12.75" x14ac:dyDescent="0.2">
      <c r="A4" s="1">
        <v>1</v>
      </c>
      <c r="B4" s="1"/>
      <c r="C4" s="1">
        <v>2</v>
      </c>
      <c r="D4" s="1">
        <v>3</v>
      </c>
      <c r="E4" s="1">
        <v>4</v>
      </c>
      <c r="F4" s="1">
        <v>5</v>
      </c>
      <c r="G4" s="1">
        <v>6</v>
      </c>
      <c r="H4" s="1">
        <v>7</v>
      </c>
      <c r="I4" s="1">
        <v>8</v>
      </c>
      <c r="J4" s="1">
        <v>9</v>
      </c>
      <c r="K4" s="1">
        <v>9</v>
      </c>
      <c r="L4" s="1">
        <v>10</v>
      </c>
      <c r="M4" s="1">
        <v>11</v>
      </c>
      <c r="N4" s="1">
        <v>11</v>
      </c>
      <c r="O4" s="1">
        <v>12</v>
      </c>
      <c r="P4" s="1">
        <v>13</v>
      </c>
      <c r="Q4" s="1">
        <v>13</v>
      </c>
      <c r="R4" s="1">
        <v>14</v>
      </c>
    </row>
    <row r="5" spans="1:18" s="2" customFormat="1" ht="30" customHeight="1" x14ac:dyDescent="0.2">
      <c r="A5" s="5" t="s">
        <v>2</v>
      </c>
      <c r="B5" s="5" t="s">
        <v>804</v>
      </c>
      <c r="C5" s="4" t="s">
        <v>66</v>
      </c>
      <c r="D5" s="9" t="s">
        <v>4</v>
      </c>
      <c r="E5" s="6" t="s">
        <v>5</v>
      </c>
      <c r="F5" s="39" t="s">
        <v>80</v>
      </c>
      <c r="G5" s="5" t="s">
        <v>6</v>
      </c>
      <c r="H5" s="4">
        <v>3372000000</v>
      </c>
      <c r="I5" s="7">
        <v>6.2E-2</v>
      </c>
      <c r="J5" s="34">
        <v>3372000000</v>
      </c>
      <c r="K5" s="34">
        <f t="shared" ref="K5:K33" si="0">J5-M5</f>
        <v>3372000000</v>
      </c>
      <c r="L5" s="34">
        <f>K5</f>
        <v>3372000000</v>
      </c>
      <c r="M5" s="34"/>
      <c r="N5" s="4"/>
      <c r="O5" s="8">
        <f>K5</f>
        <v>3372000000</v>
      </c>
      <c r="P5" s="85">
        <v>209064000</v>
      </c>
      <c r="Q5" s="85">
        <v>209064000</v>
      </c>
      <c r="R5" s="4">
        <f>Q5/2</f>
        <v>104532000</v>
      </c>
    </row>
    <row r="6" spans="1:18" s="2" customFormat="1" ht="30" customHeight="1" x14ac:dyDescent="0.2">
      <c r="A6" s="5" t="s">
        <v>2</v>
      </c>
      <c r="B6" s="5" t="s">
        <v>805</v>
      </c>
      <c r="C6" s="4" t="s">
        <v>67</v>
      </c>
      <c r="D6" s="9" t="s">
        <v>7</v>
      </c>
      <c r="E6" s="5" t="s">
        <v>8</v>
      </c>
      <c r="F6" s="39" t="s">
        <v>81</v>
      </c>
      <c r="G6" s="5" t="s">
        <v>9</v>
      </c>
      <c r="H6" s="4">
        <v>2020550000</v>
      </c>
      <c r="I6" s="7">
        <v>5.8500000000000003E-2</v>
      </c>
      <c r="J6" s="34">
        <v>2020550000</v>
      </c>
      <c r="K6" s="34">
        <f t="shared" si="0"/>
        <v>2020550000</v>
      </c>
      <c r="L6" s="34">
        <f>K6</f>
        <v>2020550000</v>
      </c>
      <c r="M6" s="34"/>
      <c r="N6" s="4"/>
      <c r="O6" s="8">
        <f>K6</f>
        <v>2020550000</v>
      </c>
      <c r="P6" s="85">
        <v>118202175</v>
      </c>
      <c r="Q6" s="85">
        <v>118202175</v>
      </c>
      <c r="R6" s="8">
        <f>Q6</f>
        <v>118202175</v>
      </c>
    </row>
    <row r="7" spans="1:18" s="2" customFormat="1" ht="30" customHeight="1" x14ac:dyDescent="0.2">
      <c r="A7" s="5" t="s">
        <v>2</v>
      </c>
      <c r="B7" s="5" t="s">
        <v>806</v>
      </c>
      <c r="C7" s="4" t="s">
        <v>68</v>
      </c>
      <c r="D7" s="9" t="s">
        <v>10</v>
      </c>
      <c r="E7" s="5" t="s">
        <v>11</v>
      </c>
      <c r="F7" s="39" t="s">
        <v>82</v>
      </c>
      <c r="G7" s="5" t="s">
        <v>12</v>
      </c>
      <c r="H7" s="4">
        <v>5685000000</v>
      </c>
      <c r="I7" s="7">
        <v>5.8999999999999997E-2</v>
      </c>
      <c r="J7" s="34">
        <v>5685000000</v>
      </c>
      <c r="K7" s="34">
        <f t="shared" si="0"/>
        <v>5685000000</v>
      </c>
      <c r="L7" s="34">
        <f>K7</f>
        <v>5685000000</v>
      </c>
      <c r="M7" s="34"/>
      <c r="N7" s="4">
        <v>0</v>
      </c>
      <c r="O7" s="4">
        <v>0</v>
      </c>
      <c r="P7" s="85">
        <v>335415000</v>
      </c>
      <c r="Q7" s="85">
        <v>335415000</v>
      </c>
      <c r="R7" s="8">
        <f>Q7</f>
        <v>335415000</v>
      </c>
    </row>
    <row r="8" spans="1:18" s="2" customFormat="1" ht="37.5" x14ac:dyDescent="0.2">
      <c r="A8" s="5" t="s">
        <v>2</v>
      </c>
      <c r="B8" s="5" t="s">
        <v>807</v>
      </c>
      <c r="C8" s="10" t="s">
        <v>69</v>
      </c>
      <c r="D8" s="9" t="s">
        <v>13</v>
      </c>
      <c r="E8" s="5" t="s">
        <v>14</v>
      </c>
      <c r="F8" s="39" t="s">
        <v>83</v>
      </c>
      <c r="G8" s="5" t="s">
        <v>15</v>
      </c>
      <c r="H8" s="4">
        <v>218280000</v>
      </c>
      <c r="I8" s="7">
        <v>5.8500000000000003E-2</v>
      </c>
      <c r="J8" s="34">
        <v>218280000</v>
      </c>
      <c r="K8" s="34">
        <f t="shared" si="0"/>
        <v>218280000</v>
      </c>
      <c r="L8" s="34">
        <v>0</v>
      </c>
      <c r="M8" s="34"/>
      <c r="N8" s="4">
        <v>218280000</v>
      </c>
      <c r="O8" s="4">
        <v>0</v>
      </c>
      <c r="P8" s="85">
        <v>12769380</v>
      </c>
      <c r="Q8" s="85">
        <v>12769380</v>
      </c>
      <c r="R8" s="4">
        <v>0</v>
      </c>
    </row>
    <row r="9" spans="1:18" s="2" customFormat="1" ht="30" customHeight="1" x14ac:dyDescent="0.2">
      <c r="A9" s="5" t="s">
        <v>16</v>
      </c>
      <c r="B9" s="5" t="s">
        <v>808</v>
      </c>
      <c r="C9" s="4" t="s">
        <v>70</v>
      </c>
      <c r="D9" s="9" t="s">
        <v>17</v>
      </c>
      <c r="E9" s="5" t="s">
        <v>18</v>
      </c>
      <c r="F9" s="39" t="s">
        <v>78</v>
      </c>
      <c r="G9" s="5" t="s">
        <v>19</v>
      </c>
      <c r="H9" s="4">
        <v>3590000000</v>
      </c>
      <c r="I9" s="7">
        <v>5.6000000000000001E-2</v>
      </c>
      <c r="J9" s="34">
        <v>3590000000</v>
      </c>
      <c r="K9" s="34">
        <f t="shared" si="0"/>
        <v>3590000000</v>
      </c>
      <c r="L9" s="34">
        <v>0</v>
      </c>
      <c r="M9" s="34"/>
      <c r="N9" s="4">
        <v>3590000000</v>
      </c>
      <c r="O9" s="4">
        <v>0</v>
      </c>
      <c r="P9" s="85">
        <v>201040000</v>
      </c>
      <c r="Q9" s="85">
        <f>201040000/2</f>
        <v>100520000</v>
      </c>
      <c r="R9" s="4">
        <v>0</v>
      </c>
    </row>
    <row r="10" spans="1:18" s="2" customFormat="1" ht="30" customHeight="1" x14ac:dyDescent="0.2">
      <c r="A10" s="5" t="s">
        <v>16</v>
      </c>
      <c r="B10" s="5" t="s">
        <v>809</v>
      </c>
      <c r="C10" s="4" t="s">
        <v>71</v>
      </c>
      <c r="D10" s="9" t="s">
        <v>20</v>
      </c>
      <c r="E10" s="5" t="s">
        <v>21</v>
      </c>
      <c r="F10" s="39" t="s">
        <v>84</v>
      </c>
      <c r="G10" s="5" t="s">
        <v>22</v>
      </c>
      <c r="H10" s="4">
        <v>2650600000</v>
      </c>
      <c r="I10" s="7">
        <v>5.7000000000000002E-2</v>
      </c>
      <c r="J10" s="34">
        <v>2650600000</v>
      </c>
      <c r="K10" s="34">
        <f t="shared" si="0"/>
        <v>2650600000</v>
      </c>
      <c r="L10" s="34">
        <v>0</v>
      </c>
      <c r="M10" s="34"/>
      <c r="N10" s="4">
        <v>2650600000</v>
      </c>
      <c r="O10" s="4">
        <v>0</v>
      </c>
      <c r="P10" s="85">
        <v>151084200</v>
      </c>
      <c r="Q10" s="85">
        <f>151084200/2</f>
        <v>75542100</v>
      </c>
      <c r="R10" s="4">
        <v>0</v>
      </c>
    </row>
    <row r="11" spans="1:18" s="2" customFormat="1" ht="30" customHeight="1" x14ac:dyDescent="0.2">
      <c r="A11" s="5" t="s">
        <v>16</v>
      </c>
      <c r="B11" s="5" t="s">
        <v>810</v>
      </c>
      <c r="C11" s="4" t="s">
        <v>72</v>
      </c>
      <c r="D11" s="42" t="s">
        <v>23</v>
      </c>
      <c r="E11" s="5" t="s">
        <v>24</v>
      </c>
      <c r="F11" s="39" t="s">
        <v>85</v>
      </c>
      <c r="G11" s="5" t="s">
        <v>25</v>
      </c>
      <c r="H11" s="4">
        <v>2660500000</v>
      </c>
      <c r="I11" s="7">
        <v>7.3599999999999999E-2</v>
      </c>
      <c r="J11" s="34">
        <v>2660500000</v>
      </c>
      <c r="K11" s="34">
        <f t="shared" si="0"/>
        <v>2660500000</v>
      </c>
      <c r="L11" s="34">
        <v>0</v>
      </c>
      <c r="M11" s="34"/>
      <c r="N11" s="4">
        <v>2660500000</v>
      </c>
      <c r="O11" s="4">
        <v>0</v>
      </c>
      <c r="P11" s="85">
        <v>195812800</v>
      </c>
      <c r="Q11" s="85">
        <v>195812800</v>
      </c>
      <c r="R11" s="4">
        <v>0</v>
      </c>
    </row>
    <row r="12" spans="1:18" s="2" customFormat="1" ht="30" customHeight="1" x14ac:dyDescent="0.2">
      <c r="A12" s="5" t="s">
        <v>16</v>
      </c>
      <c r="B12" s="5" t="s">
        <v>811</v>
      </c>
      <c r="C12" s="4" t="s">
        <v>73</v>
      </c>
      <c r="D12" s="42" t="s">
        <v>26</v>
      </c>
      <c r="E12" s="5" t="s">
        <v>27</v>
      </c>
      <c r="F12" s="39" t="s">
        <v>86</v>
      </c>
      <c r="G12" s="5" t="s">
        <v>28</v>
      </c>
      <c r="H12" s="4">
        <v>3085300000</v>
      </c>
      <c r="I12" s="7">
        <v>7.3200000000000001E-2</v>
      </c>
      <c r="J12" s="34">
        <v>3085300000</v>
      </c>
      <c r="K12" s="34">
        <f t="shared" si="0"/>
        <v>3085300000</v>
      </c>
      <c r="L12" s="34">
        <v>0</v>
      </c>
      <c r="M12" s="34"/>
      <c r="N12" s="4">
        <v>3085300000</v>
      </c>
      <c r="O12" s="4">
        <v>0</v>
      </c>
      <c r="P12" s="85">
        <v>225843960</v>
      </c>
      <c r="Q12" s="85">
        <v>225843960</v>
      </c>
      <c r="R12" s="4">
        <v>0</v>
      </c>
    </row>
    <row r="13" spans="1:18" s="2" customFormat="1" ht="30" customHeight="1" x14ac:dyDescent="0.2">
      <c r="A13" s="5" t="s">
        <v>16</v>
      </c>
      <c r="B13" s="2" t="s">
        <v>812</v>
      </c>
      <c r="C13" s="4" t="s">
        <v>74</v>
      </c>
      <c r="D13" s="42" t="s">
        <v>29</v>
      </c>
      <c r="E13" s="5" t="s">
        <v>30</v>
      </c>
      <c r="F13" s="39" t="s">
        <v>87</v>
      </c>
      <c r="G13" s="5" t="s">
        <v>31</v>
      </c>
      <c r="H13" s="4">
        <v>2130000000</v>
      </c>
      <c r="I13" s="7">
        <v>7.0199999999999999E-2</v>
      </c>
      <c r="J13" s="34">
        <v>2130000000</v>
      </c>
      <c r="K13" s="34">
        <f t="shared" si="0"/>
        <v>2130000000</v>
      </c>
      <c r="L13" s="34">
        <v>0</v>
      </c>
      <c r="M13" s="34"/>
      <c r="N13" s="4">
        <v>2130000000</v>
      </c>
      <c r="O13" s="4">
        <v>0</v>
      </c>
      <c r="P13" s="85">
        <v>149526000</v>
      </c>
      <c r="Q13" s="85">
        <v>149526000</v>
      </c>
      <c r="R13" s="4">
        <v>0</v>
      </c>
    </row>
    <row r="14" spans="1:18" s="2" customFormat="1" ht="30" customHeight="1" x14ac:dyDescent="0.2">
      <c r="A14" s="5" t="s">
        <v>16</v>
      </c>
      <c r="B14" s="2" t="s">
        <v>813</v>
      </c>
      <c r="C14" s="4" t="s">
        <v>75</v>
      </c>
      <c r="D14" s="42" t="s">
        <v>180</v>
      </c>
      <c r="E14" s="5" t="s">
        <v>32</v>
      </c>
      <c r="F14" s="39" t="s">
        <v>88</v>
      </c>
      <c r="G14" s="5" t="s">
        <v>33</v>
      </c>
      <c r="H14" s="4">
        <v>3265450000</v>
      </c>
      <c r="I14" s="7">
        <v>7.17E-2</v>
      </c>
      <c r="J14" s="34">
        <v>3265450000</v>
      </c>
      <c r="K14" s="34">
        <f t="shared" si="0"/>
        <v>3265450000</v>
      </c>
      <c r="L14" s="34">
        <f>K14</f>
        <v>3265450000</v>
      </c>
      <c r="M14" s="34"/>
      <c r="N14" s="4">
        <v>0</v>
      </c>
      <c r="O14" s="4">
        <v>0</v>
      </c>
      <c r="P14" s="85">
        <v>234132765</v>
      </c>
      <c r="Q14" s="85">
        <v>234132765</v>
      </c>
      <c r="R14" s="8">
        <f>Q14</f>
        <v>234132765</v>
      </c>
    </row>
    <row r="15" spans="1:18" s="2" customFormat="1" ht="45" customHeight="1" x14ac:dyDescent="0.2">
      <c r="A15" s="5" t="s">
        <v>34</v>
      </c>
      <c r="B15" s="2" t="s">
        <v>814</v>
      </c>
      <c r="C15" s="4" t="s">
        <v>76</v>
      </c>
      <c r="D15" s="42" t="s">
        <v>35</v>
      </c>
      <c r="E15" s="5" t="s">
        <v>36</v>
      </c>
      <c r="F15" s="39" t="s">
        <v>89</v>
      </c>
      <c r="G15" s="5" t="s">
        <v>37</v>
      </c>
      <c r="H15" s="4">
        <v>4941400000</v>
      </c>
      <c r="I15" s="7">
        <v>7.7700000000000005E-2</v>
      </c>
      <c r="J15" s="34">
        <v>4941400000</v>
      </c>
      <c r="K15" s="34">
        <f t="shared" si="0"/>
        <v>4941400000</v>
      </c>
      <c r="L15" s="34">
        <f>K15</f>
        <v>4941400000</v>
      </c>
      <c r="M15" s="34"/>
      <c r="N15" s="4">
        <v>0</v>
      </c>
      <c r="O15" s="8">
        <f>L15</f>
        <v>4941400000</v>
      </c>
      <c r="P15" s="85">
        <v>383946780</v>
      </c>
      <c r="Q15" s="85">
        <v>383946780</v>
      </c>
      <c r="R15" s="4">
        <f>Q15/2</f>
        <v>191973390</v>
      </c>
    </row>
    <row r="16" spans="1:18" s="2" customFormat="1" ht="37.5" x14ac:dyDescent="0.2">
      <c r="A16" s="5" t="s">
        <v>34</v>
      </c>
      <c r="B16" s="2" t="s">
        <v>815</v>
      </c>
      <c r="C16" s="10" t="s">
        <v>77</v>
      </c>
      <c r="D16" s="42" t="s">
        <v>38</v>
      </c>
      <c r="E16" s="5" t="s">
        <v>39</v>
      </c>
      <c r="F16" s="39" t="s">
        <v>90</v>
      </c>
      <c r="G16" s="5" t="s">
        <v>40</v>
      </c>
      <c r="H16" s="4">
        <v>2334900000</v>
      </c>
      <c r="I16" s="7">
        <v>7.3899999999999993E-2</v>
      </c>
      <c r="J16" s="34">
        <v>2334900000</v>
      </c>
      <c r="K16" s="34">
        <f t="shared" si="0"/>
        <v>2334900000</v>
      </c>
      <c r="L16" s="34">
        <f>K16</f>
        <v>2334900000</v>
      </c>
      <c r="M16" s="34"/>
      <c r="N16" s="4">
        <v>0</v>
      </c>
      <c r="O16" s="8">
        <f>L16</f>
        <v>2334900000</v>
      </c>
      <c r="P16" s="85">
        <v>172549109.99999997</v>
      </c>
      <c r="Q16" s="85">
        <v>172549109.99999997</v>
      </c>
      <c r="R16" s="4">
        <f>Q16/2</f>
        <v>86274554.999999985</v>
      </c>
    </row>
    <row r="17" spans="1:18" s="2" customFormat="1" ht="36" x14ac:dyDescent="0.2">
      <c r="A17" s="5" t="s">
        <v>0</v>
      </c>
      <c r="B17" s="2" t="s">
        <v>816</v>
      </c>
      <c r="C17" s="10" t="s">
        <v>216</v>
      </c>
      <c r="D17" s="42" t="s">
        <v>214</v>
      </c>
      <c r="E17" s="72" t="s">
        <v>277</v>
      </c>
      <c r="F17" s="39" t="s">
        <v>79</v>
      </c>
      <c r="G17" s="72" t="s">
        <v>278</v>
      </c>
      <c r="H17" s="4">
        <v>10920000000</v>
      </c>
      <c r="I17" s="7">
        <v>8.2500000000000004E-2</v>
      </c>
      <c r="J17" s="4">
        <v>10920000000</v>
      </c>
      <c r="K17" s="34">
        <f t="shared" si="0"/>
        <v>10920000000</v>
      </c>
      <c r="L17" s="34">
        <f>K17</f>
        <v>10920000000</v>
      </c>
      <c r="M17" s="34"/>
      <c r="N17" s="4"/>
      <c r="O17" s="4"/>
      <c r="P17" s="85">
        <f>J17*8.25%</f>
        <v>900900000</v>
      </c>
      <c r="Q17" s="85">
        <f>K17*8.25%</f>
        <v>900900000</v>
      </c>
      <c r="R17" s="8">
        <f>Q17</f>
        <v>900900000</v>
      </c>
    </row>
    <row r="18" spans="1:18" s="2" customFormat="1" ht="36" x14ac:dyDescent="0.2">
      <c r="A18" s="5" t="s">
        <v>191</v>
      </c>
      <c r="B18" s="5" t="s">
        <v>817</v>
      </c>
      <c r="C18" s="10" t="s">
        <v>220</v>
      </c>
      <c r="D18" s="42" t="s">
        <v>279</v>
      </c>
      <c r="E18" s="72" t="s">
        <v>280</v>
      </c>
      <c r="F18" s="39" t="s">
        <v>505</v>
      </c>
      <c r="G18" s="72" t="s">
        <v>281</v>
      </c>
      <c r="H18" s="4">
        <v>7500000000</v>
      </c>
      <c r="I18" s="7">
        <v>6.4500000000000002E-2</v>
      </c>
      <c r="J18" s="4">
        <v>7500000000</v>
      </c>
      <c r="K18" s="34">
        <f t="shared" si="0"/>
        <v>7500000000</v>
      </c>
      <c r="L18" s="34">
        <f t="shared" ref="L18:L47" si="1">K18</f>
        <v>7500000000</v>
      </c>
      <c r="M18" s="34"/>
      <c r="N18" s="4"/>
      <c r="O18" s="4"/>
      <c r="P18" s="85">
        <v>483750000</v>
      </c>
      <c r="Q18" s="85">
        <v>483750000</v>
      </c>
      <c r="R18" s="8">
        <f t="shared" ref="R18:R41" si="2">Q18</f>
        <v>483750000</v>
      </c>
    </row>
    <row r="19" spans="1:18" s="2" customFormat="1" ht="24" x14ac:dyDescent="0.2">
      <c r="A19" s="5" t="s">
        <v>191</v>
      </c>
      <c r="B19" s="5" t="s">
        <v>818</v>
      </c>
      <c r="C19" s="10" t="s">
        <v>291</v>
      </c>
      <c r="D19" s="42" t="s">
        <v>282</v>
      </c>
      <c r="E19" s="72" t="s">
        <v>283</v>
      </c>
      <c r="F19" s="39" t="s">
        <v>506</v>
      </c>
      <c r="G19" s="72" t="s">
        <v>707</v>
      </c>
      <c r="H19" s="4">
        <v>7309300000</v>
      </c>
      <c r="I19" s="7">
        <v>7.0999999999999994E-2</v>
      </c>
      <c r="J19" s="4">
        <v>7309300000</v>
      </c>
      <c r="K19" s="34">
        <f t="shared" si="0"/>
        <v>7309300000</v>
      </c>
      <c r="L19" s="34">
        <f t="shared" si="1"/>
        <v>7309300000</v>
      </c>
      <c r="M19" s="34"/>
      <c r="N19" s="4"/>
      <c r="O19" s="4"/>
      <c r="P19" s="85">
        <v>518960300</v>
      </c>
      <c r="Q19" s="85">
        <v>518960300</v>
      </c>
      <c r="R19" s="8">
        <f t="shared" si="2"/>
        <v>518960300</v>
      </c>
    </row>
    <row r="20" spans="1:18" s="2" customFormat="1" ht="36" x14ac:dyDescent="0.2">
      <c r="A20" s="5" t="s">
        <v>191</v>
      </c>
      <c r="B20" s="5" t="s">
        <v>819</v>
      </c>
      <c r="C20" s="10" t="s">
        <v>292</v>
      </c>
      <c r="D20" s="42" t="s">
        <v>284</v>
      </c>
      <c r="E20" s="72" t="s">
        <v>285</v>
      </c>
      <c r="F20" s="39" t="s">
        <v>507</v>
      </c>
      <c r="G20" s="72" t="s">
        <v>286</v>
      </c>
      <c r="H20" s="4">
        <v>11350000000</v>
      </c>
      <c r="I20" s="7">
        <v>8.7800000000000003E-2</v>
      </c>
      <c r="J20" s="4">
        <v>11350000000</v>
      </c>
      <c r="K20" s="34">
        <f t="shared" si="0"/>
        <v>11350000000</v>
      </c>
      <c r="L20" s="34">
        <f t="shared" si="1"/>
        <v>11350000000</v>
      </c>
      <c r="M20" s="34"/>
      <c r="N20" s="4"/>
      <c r="O20" s="4"/>
      <c r="P20" s="4">
        <v>996530000</v>
      </c>
      <c r="Q20" s="4">
        <v>996530000</v>
      </c>
      <c r="R20" s="8">
        <f t="shared" si="2"/>
        <v>996530000</v>
      </c>
    </row>
    <row r="21" spans="1:18" s="2" customFormat="1" ht="24" x14ac:dyDescent="0.2">
      <c r="A21" s="5" t="s">
        <v>191</v>
      </c>
      <c r="B21" s="5" t="s">
        <v>820</v>
      </c>
      <c r="C21" s="10" t="s">
        <v>293</v>
      </c>
      <c r="D21" s="42" t="s">
        <v>287</v>
      </c>
      <c r="E21" s="72" t="s">
        <v>288</v>
      </c>
      <c r="F21" s="39" t="s">
        <v>289</v>
      </c>
      <c r="G21" s="72" t="s">
        <v>290</v>
      </c>
      <c r="H21" s="4">
        <v>7810000000</v>
      </c>
      <c r="I21" s="7">
        <v>8.4500000000000006E-2</v>
      </c>
      <c r="J21" s="4">
        <v>7810000000</v>
      </c>
      <c r="K21" s="34">
        <f t="shared" si="0"/>
        <v>7810000000</v>
      </c>
      <c r="L21" s="34">
        <f t="shared" si="1"/>
        <v>7810000000</v>
      </c>
      <c r="M21" s="34"/>
      <c r="N21" s="4"/>
      <c r="O21" s="4"/>
      <c r="P21" s="85">
        <v>659945000</v>
      </c>
      <c r="Q21" s="85">
        <v>659945000</v>
      </c>
      <c r="R21" s="8">
        <f t="shared" si="2"/>
        <v>659945000</v>
      </c>
    </row>
    <row r="22" spans="1:18" s="2" customFormat="1" ht="32.25" customHeight="1" x14ac:dyDescent="0.2">
      <c r="A22" s="5" t="s">
        <v>215</v>
      </c>
      <c r="B22" s="5" t="s">
        <v>821</v>
      </c>
      <c r="C22" s="10" t="s">
        <v>294</v>
      </c>
      <c r="D22" s="42" t="s">
        <v>295</v>
      </c>
      <c r="E22" s="5" t="s">
        <v>296</v>
      </c>
      <c r="F22" s="39" t="s">
        <v>297</v>
      </c>
      <c r="G22" s="5" t="s">
        <v>298</v>
      </c>
      <c r="H22" s="4">
        <v>10000000000</v>
      </c>
      <c r="I22" s="7">
        <v>7.8899999999999998E-2</v>
      </c>
      <c r="J22" s="4">
        <v>10000000000</v>
      </c>
      <c r="K22" s="34">
        <f t="shared" si="0"/>
        <v>10000000000</v>
      </c>
      <c r="L22" s="34">
        <f t="shared" si="1"/>
        <v>10000000000</v>
      </c>
      <c r="M22" s="34"/>
      <c r="N22" s="4"/>
      <c r="O22" s="4"/>
      <c r="P22" s="4">
        <f>394500000*2</f>
        <v>789000000</v>
      </c>
      <c r="Q22" s="4">
        <f>394500000*2</f>
        <v>789000000</v>
      </c>
      <c r="R22" s="8">
        <f t="shared" si="2"/>
        <v>789000000</v>
      </c>
    </row>
    <row r="23" spans="1:18" s="2" customFormat="1" ht="32.25" customHeight="1" x14ac:dyDescent="0.2">
      <c r="A23" s="5" t="s">
        <v>215</v>
      </c>
      <c r="B23" s="5" t="s">
        <v>822</v>
      </c>
      <c r="C23" s="10" t="s">
        <v>299</v>
      </c>
      <c r="D23" s="42" t="s">
        <v>302</v>
      </c>
      <c r="E23" s="5" t="s">
        <v>313</v>
      </c>
      <c r="F23" s="39" t="s">
        <v>305</v>
      </c>
      <c r="G23" s="5" t="s">
        <v>306</v>
      </c>
      <c r="H23" s="4">
        <v>7928100000</v>
      </c>
      <c r="I23" s="7">
        <v>8.4900000000000003E-2</v>
      </c>
      <c r="J23" s="34">
        <v>7928100000</v>
      </c>
      <c r="K23" s="34">
        <f t="shared" si="0"/>
        <v>7928100000</v>
      </c>
      <c r="L23" s="34">
        <f t="shared" si="1"/>
        <v>7928100000</v>
      </c>
      <c r="M23" s="34"/>
      <c r="N23" s="4"/>
      <c r="O23" s="4"/>
      <c r="P23" s="4">
        <v>673095690</v>
      </c>
      <c r="Q23" s="4">
        <v>673095690</v>
      </c>
      <c r="R23" s="8">
        <f t="shared" si="2"/>
        <v>673095690</v>
      </c>
    </row>
    <row r="24" spans="1:18" s="2" customFormat="1" ht="36" x14ac:dyDescent="0.2">
      <c r="A24" s="5" t="s">
        <v>215</v>
      </c>
      <c r="B24" s="5" t="s">
        <v>823</v>
      </c>
      <c r="C24" s="10" t="s">
        <v>300</v>
      </c>
      <c r="D24" s="42" t="s">
        <v>303</v>
      </c>
      <c r="E24" s="5" t="s">
        <v>311</v>
      </c>
      <c r="F24" s="39" t="s">
        <v>307</v>
      </c>
      <c r="G24" s="5" t="s">
        <v>308</v>
      </c>
      <c r="H24" s="4">
        <v>6000000000</v>
      </c>
      <c r="I24" s="7">
        <v>8.2500000000000004E-2</v>
      </c>
      <c r="J24" s="34">
        <v>6000000000</v>
      </c>
      <c r="K24" s="34">
        <f t="shared" si="0"/>
        <v>6000000000</v>
      </c>
      <c r="L24" s="34">
        <f t="shared" si="1"/>
        <v>6000000000</v>
      </c>
      <c r="M24" s="34"/>
      <c r="N24" s="4"/>
      <c r="O24" s="4"/>
      <c r="P24" s="4">
        <v>495000000</v>
      </c>
      <c r="Q24" s="4">
        <v>495000000</v>
      </c>
      <c r="R24" s="8">
        <f t="shared" si="2"/>
        <v>495000000</v>
      </c>
    </row>
    <row r="25" spans="1:18" s="2" customFormat="1" ht="32.25" customHeight="1" x14ac:dyDescent="0.2">
      <c r="A25" s="5" t="s">
        <v>215</v>
      </c>
      <c r="B25" s="5" t="s">
        <v>824</v>
      </c>
      <c r="C25" s="10" t="s">
        <v>301</v>
      </c>
      <c r="D25" s="42" t="s">
        <v>304</v>
      </c>
      <c r="E25" s="5" t="s">
        <v>312</v>
      </c>
      <c r="F25" s="39" t="s">
        <v>309</v>
      </c>
      <c r="G25" s="5" t="s">
        <v>310</v>
      </c>
      <c r="H25" s="4">
        <v>6071900000</v>
      </c>
      <c r="I25" s="7">
        <v>8.3500000000000005E-2</v>
      </c>
      <c r="J25" s="34">
        <v>6071900000</v>
      </c>
      <c r="K25" s="34">
        <f t="shared" si="0"/>
        <v>6071900000</v>
      </c>
      <c r="L25" s="34">
        <f t="shared" si="1"/>
        <v>6071900000</v>
      </c>
      <c r="M25" s="34"/>
      <c r="N25" s="4"/>
      <c r="O25" s="4"/>
      <c r="P25" s="4">
        <v>507003650</v>
      </c>
      <c r="Q25" s="4">
        <v>507003650</v>
      </c>
      <c r="R25" s="8">
        <f t="shared" si="2"/>
        <v>507003650</v>
      </c>
    </row>
    <row r="26" spans="1:18" s="2" customFormat="1" ht="32.25" customHeight="1" x14ac:dyDescent="0.2">
      <c r="A26" s="5" t="s">
        <v>276</v>
      </c>
      <c r="B26" s="5" t="s">
        <v>825</v>
      </c>
      <c r="C26" s="10" t="s">
        <v>368</v>
      </c>
      <c r="D26" s="42" t="s">
        <v>369</v>
      </c>
      <c r="E26" s="5" t="s">
        <v>370</v>
      </c>
      <c r="F26" s="39" t="s">
        <v>371</v>
      </c>
      <c r="G26" s="5" t="s">
        <v>372</v>
      </c>
      <c r="H26" s="4">
        <v>10000000000</v>
      </c>
      <c r="I26" s="7">
        <v>8.5300000000000001E-2</v>
      </c>
      <c r="J26" s="34">
        <v>10000000000</v>
      </c>
      <c r="K26" s="34">
        <f t="shared" si="0"/>
        <v>10000000000</v>
      </c>
      <c r="L26" s="34">
        <f t="shared" si="1"/>
        <v>10000000000</v>
      </c>
      <c r="M26" s="34"/>
      <c r="N26" s="4"/>
      <c r="O26" s="4"/>
      <c r="P26" s="4">
        <v>853000000</v>
      </c>
      <c r="Q26" s="4">
        <v>853000000</v>
      </c>
      <c r="R26" s="8">
        <f t="shared" si="2"/>
        <v>853000000</v>
      </c>
    </row>
    <row r="27" spans="1:18" s="2" customFormat="1" ht="36" x14ac:dyDescent="0.2">
      <c r="A27" s="5" t="s">
        <v>276</v>
      </c>
      <c r="B27" s="5" t="s">
        <v>826</v>
      </c>
      <c r="C27" s="10" t="s">
        <v>375</v>
      </c>
      <c r="D27" s="42" t="s">
        <v>377</v>
      </c>
      <c r="E27" s="5" t="s">
        <v>376</v>
      </c>
      <c r="F27" s="39" t="s">
        <v>378</v>
      </c>
      <c r="G27" s="5" t="s">
        <v>379</v>
      </c>
      <c r="H27" s="4">
        <v>10000000000</v>
      </c>
      <c r="I27" s="7">
        <v>8.5500000000000007E-2</v>
      </c>
      <c r="J27" s="34">
        <v>10000000000</v>
      </c>
      <c r="K27" s="34">
        <f t="shared" si="0"/>
        <v>10000000000</v>
      </c>
      <c r="L27" s="34">
        <f t="shared" si="1"/>
        <v>10000000000</v>
      </c>
      <c r="M27" s="34"/>
      <c r="N27" s="4"/>
      <c r="O27" s="4"/>
      <c r="P27" s="4">
        <v>855000000</v>
      </c>
      <c r="Q27" s="4">
        <v>855000000</v>
      </c>
      <c r="R27" s="8">
        <f t="shared" si="2"/>
        <v>855000000</v>
      </c>
    </row>
    <row r="28" spans="1:18" s="2" customFormat="1" ht="18.75" x14ac:dyDescent="0.2">
      <c r="A28" s="5" t="s">
        <v>276</v>
      </c>
      <c r="B28" s="5" t="s">
        <v>827</v>
      </c>
      <c r="C28" s="10" t="s">
        <v>421</v>
      </c>
      <c r="D28" s="42"/>
      <c r="E28" s="5" t="s">
        <v>422</v>
      </c>
      <c r="F28" s="39" t="s">
        <v>423</v>
      </c>
      <c r="G28" s="5" t="s">
        <v>424</v>
      </c>
      <c r="H28" s="4">
        <v>6000000000</v>
      </c>
      <c r="I28" s="7">
        <v>8.3799999999999999E-2</v>
      </c>
      <c r="J28" s="34">
        <v>6000000000</v>
      </c>
      <c r="K28" s="34">
        <f t="shared" si="0"/>
        <v>6000000000</v>
      </c>
      <c r="L28" s="34">
        <f t="shared" si="1"/>
        <v>6000000000</v>
      </c>
      <c r="M28" s="34"/>
      <c r="N28" s="4"/>
      <c r="O28" s="4"/>
      <c r="P28" s="4">
        <v>502800000</v>
      </c>
      <c r="Q28" s="4">
        <v>502800000</v>
      </c>
      <c r="R28" s="8">
        <f t="shared" si="2"/>
        <v>502800000</v>
      </c>
    </row>
    <row r="29" spans="1:18" s="2" customFormat="1" ht="36" x14ac:dyDescent="0.2">
      <c r="A29" s="5" t="s">
        <v>367</v>
      </c>
      <c r="B29" s="5" t="s">
        <v>828</v>
      </c>
      <c r="C29" s="10" t="s">
        <v>425</v>
      </c>
      <c r="D29" s="42" t="s">
        <v>426</v>
      </c>
      <c r="E29" s="5" t="s">
        <v>427</v>
      </c>
      <c r="F29" s="39" t="s">
        <v>428</v>
      </c>
      <c r="G29" s="5" t="s">
        <v>429</v>
      </c>
      <c r="H29" s="4">
        <v>10000000000</v>
      </c>
      <c r="I29" s="7">
        <v>8.8900000000000007E-2</v>
      </c>
      <c r="J29" s="34">
        <v>10000000000</v>
      </c>
      <c r="K29" s="34">
        <f t="shared" si="0"/>
        <v>10000000000</v>
      </c>
      <c r="L29" s="34">
        <f t="shared" si="1"/>
        <v>10000000000</v>
      </c>
      <c r="M29" s="34"/>
      <c r="N29" s="4"/>
      <c r="O29" s="4"/>
      <c r="P29" s="4">
        <v>889000000</v>
      </c>
      <c r="Q29" s="4">
        <v>889000000</v>
      </c>
      <c r="R29" s="8">
        <f t="shared" si="2"/>
        <v>889000000</v>
      </c>
    </row>
    <row r="30" spans="1:18" s="2" customFormat="1" ht="36" x14ac:dyDescent="0.2">
      <c r="A30" s="5" t="s">
        <v>367</v>
      </c>
      <c r="B30" s="5" t="s">
        <v>829</v>
      </c>
      <c r="C30" s="10" t="s">
        <v>430</v>
      </c>
      <c r="D30" s="42" t="s">
        <v>432</v>
      </c>
      <c r="E30" s="5" t="s">
        <v>431</v>
      </c>
      <c r="F30" s="39" t="s">
        <v>433</v>
      </c>
      <c r="G30" s="5" t="s">
        <v>434</v>
      </c>
      <c r="H30" s="4">
        <v>7190000000</v>
      </c>
      <c r="I30" s="7">
        <v>8.7999999999999995E-2</v>
      </c>
      <c r="J30" s="34">
        <v>7190000000</v>
      </c>
      <c r="K30" s="34">
        <f t="shared" si="0"/>
        <v>7190000000</v>
      </c>
      <c r="L30" s="34">
        <f t="shared" si="1"/>
        <v>7190000000</v>
      </c>
      <c r="M30" s="34"/>
      <c r="N30" s="4"/>
      <c r="O30" s="4"/>
      <c r="P30" s="4">
        <v>632720000</v>
      </c>
      <c r="Q30" s="4">
        <v>632720000</v>
      </c>
      <c r="R30" s="8">
        <f t="shared" si="2"/>
        <v>632720000</v>
      </c>
    </row>
    <row r="31" spans="1:18" s="2" customFormat="1" ht="36" x14ac:dyDescent="0.2">
      <c r="A31" s="5" t="s">
        <v>367</v>
      </c>
      <c r="B31" s="5" t="s">
        <v>830</v>
      </c>
      <c r="C31" s="10" t="s">
        <v>441</v>
      </c>
      <c r="D31" s="42" t="s">
        <v>442</v>
      </c>
      <c r="E31" s="5" t="s">
        <v>443</v>
      </c>
      <c r="F31" s="39" t="s">
        <v>444</v>
      </c>
      <c r="G31" s="5" t="s">
        <v>445</v>
      </c>
      <c r="H31" s="4">
        <v>12810000000</v>
      </c>
      <c r="I31" s="7">
        <v>8.72E-2</v>
      </c>
      <c r="J31" s="34">
        <v>12810000000</v>
      </c>
      <c r="K31" s="34">
        <f t="shared" si="0"/>
        <v>12810000000</v>
      </c>
      <c r="L31" s="34">
        <f t="shared" si="1"/>
        <v>12810000000</v>
      </c>
      <c r="M31" s="34"/>
      <c r="N31" s="4"/>
      <c r="O31" s="4"/>
      <c r="P31" s="4">
        <v>1117032000</v>
      </c>
      <c r="Q31" s="4">
        <v>1117032000</v>
      </c>
      <c r="R31" s="8">
        <f t="shared" si="2"/>
        <v>1117032000</v>
      </c>
    </row>
    <row r="32" spans="1:18" s="2" customFormat="1" ht="36" x14ac:dyDescent="0.2">
      <c r="A32" s="5" t="s">
        <v>367</v>
      </c>
      <c r="B32" s="5" t="s">
        <v>831</v>
      </c>
      <c r="C32" s="10" t="s">
        <v>495</v>
      </c>
      <c r="D32" s="42" t="s">
        <v>499</v>
      </c>
      <c r="E32" s="5" t="s">
        <v>497</v>
      </c>
      <c r="F32" s="39" t="s">
        <v>500</v>
      </c>
      <c r="G32" s="5" t="s">
        <v>501</v>
      </c>
      <c r="H32" s="4">
        <v>5000000000</v>
      </c>
      <c r="I32" s="7">
        <v>8.9899999999999994E-2</v>
      </c>
      <c r="J32" s="34">
        <v>5000000000</v>
      </c>
      <c r="K32" s="34">
        <f t="shared" si="0"/>
        <v>5000000000</v>
      </c>
      <c r="L32" s="34">
        <f t="shared" si="1"/>
        <v>5000000000</v>
      </c>
      <c r="M32" s="34"/>
      <c r="N32" s="4"/>
      <c r="O32" s="4"/>
      <c r="P32" s="4">
        <v>449500000</v>
      </c>
      <c r="Q32" s="4">
        <v>449500000</v>
      </c>
      <c r="R32" s="8">
        <f t="shared" si="2"/>
        <v>449500000</v>
      </c>
    </row>
    <row r="33" spans="1:18" s="2" customFormat="1" ht="36" x14ac:dyDescent="0.2">
      <c r="A33" s="5" t="s">
        <v>367</v>
      </c>
      <c r="B33" s="5" t="s">
        <v>832</v>
      </c>
      <c r="C33" s="10" t="s">
        <v>496</v>
      </c>
      <c r="D33" s="42" t="s">
        <v>502</v>
      </c>
      <c r="E33" s="5" t="s">
        <v>498</v>
      </c>
      <c r="F33" s="39" t="s">
        <v>503</v>
      </c>
      <c r="G33" s="5" t="s">
        <v>504</v>
      </c>
      <c r="H33" s="4">
        <v>5000000000</v>
      </c>
      <c r="I33" s="7">
        <v>9.0300000000000005E-2</v>
      </c>
      <c r="J33" s="34">
        <v>5000000000</v>
      </c>
      <c r="K33" s="34">
        <f t="shared" si="0"/>
        <v>5000000000</v>
      </c>
      <c r="L33" s="34">
        <f t="shared" si="1"/>
        <v>5000000000</v>
      </c>
      <c r="M33" s="34"/>
      <c r="N33" s="4"/>
      <c r="O33" s="4"/>
      <c r="P33" s="4">
        <v>451500000</v>
      </c>
      <c r="Q33" s="4">
        <v>451500000</v>
      </c>
      <c r="R33" s="8">
        <f t="shared" si="2"/>
        <v>451500000</v>
      </c>
    </row>
    <row r="34" spans="1:18" s="2" customFormat="1" ht="36" x14ac:dyDescent="0.2">
      <c r="A34" s="5" t="s">
        <v>420</v>
      </c>
      <c r="B34" s="5" t="s">
        <v>833</v>
      </c>
      <c r="C34" s="10" t="s">
        <v>508</v>
      </c>
      <c r="D34" s="42" t="s">
        <v>531</v>
      </c>
      <c r="E34" s="5" t="s">
        <v>513</v>
      </c>
      <c r="F34" s="39" t="s">
        <v>519</v>
      </c>
      <c r="G34" s="5" t="s">
        <v>525</v>
      </c>
      <c r="H34" s="4">
        <v>7500000000</v>
      </c>
      <c r="I34" s="7">
        <v>9.1600000000000001E-2</v>
      </c>
      <c r="J34" s="34">
        <f>K34-M34</f>
        <v>7500000000</v>
      </c>
      <c r="K34" s="34">
        <f t="shared" ref="K34:K40" si="3">H34-N34</f>
        <v>7500000000</v>
      </c>
      <c r="L34" s="34">
        <f t="shared" si="1"/>
        <v>7500000000</v>
      </c>
      <c r="M34" s="34"/>
      <c r="N34" s="4"/>
      <c r="O34" s="4"/>
      <c r="P34" s="4">
        <f>J34*9.16/100</f>
        <v>687000000</v>
      </c>
      <c r="Q34" s="4">
        <f>K34*9.16/100</f>
        <v>687000000</v>
      </c>
      <c r="R34" s="8">
        <f t="shared" si="2"/>
        <v>687000000</v>
      </c>
    </row>
    <row r="35" spans="1:18" s="2" customFormat="1" ht="36" x14ac:dyDescent="0.2">
      <c r="A35" s="5" t="s">
        <v>420</v>
      </c>
      <c r="B35" s="5" t="s">
        <v>834</v>
      </c>
      <c r="C35" s="10" t="s">
        <v>509</v>
      </c>
      <c r="D35" s="42" t="s">
        <v>532</v>
      </c>
      <c r="E35" s="5" t="s">
        <v>514</v>
      </c>
      <c r="F35" s="39" t="s">
        <v>520</v>
      </c>
      <c r="G35" s="5" t="s">
        <v>526</v>
      </c>
      <c r="H35" s="4">
        <v>10000000000</v>
      </c>
      <c r="I35" s="7">
        <v>8.8900000000000007E-2</v>
      </c>
      <c r="J35" s="34">
        <f t="shared" ref="J35:J40" si="4">K35-M35</f>
        <v>10000000000</v>
      </c>
      <c r="K35" s="34">
        <f t="shared" si="3"/>
        <v>10000000000</v>
      </c>
      <c r="L35" s="34">
        <f t="shared" si="1"/>
        <v>10000000000</v>
      </c>
      <c r="M35" s="34"/>
      <c r="N35" s="4"/>
      <c r="O35" s="4"/>
      <c r="P35" s="4">
        <f>J35*8.89/100</f>
        <v>889000000</v>
      </c>
      <c r="Q35" s="4">
        <f>K35*8.89/100</f>
        <v>889000000</v>
      </c>
      <c r="R35" s="8">
        <f t="shared" si="2"/>
        <v>889000000</v>
      </c>
    </row>
    <row r="36" spans="1:18" s="2" customFormat="1" ht="36" x14ac:dyDescent="0.2">
      <c r="A36" s="5" t="s">
        <v>420</v>
      </c>
      <c r="B36" s="5" t="s">
        <v>835</v>
      </c>
      <c r="C36" s="10" t="s">
        <v>510</v>
      </c>
      <c r="D36" s="42" t="s">
        <v>533</v>
      </c>
      <c r="E36" s="5" t="s">
        <v>515</v>
      </c>
      <c r="F36" s="39" t="s">
        <v>521</v>
      </c>
      <c r="G36" s="5" t="s">
        <v>527</v>
      </c>
      <c r="H36" s="4">
        <v>12500000000</v>
      </c>
      <c r="I36" s="7">
        <v>8.9700000000000002E-2</v>
      </c>
      <c r="J36" s="34">
        <f t="shared" si="4"/>
        <v>12500000000</v>
      </c>
      <c r="K36" s="34">
        <f t="shared" si="3"/>
        <v>12500000000</v>
      </c>
      <c r="L36" s="34">
        <f t="shared" si="1"/>
        <v>12500000000</v>
      </c>
      <c r="M36" s="34"/>
      <c r="N36" s="4"/>
      <c r="O36" s="4"/>
      <c r="P36" s="4">
        <f>J36*8.97/100</f>
        <v>1121250000.0000002</v>
      </c>
      <c r="Q36" s="4">
        <f>K36*8.97/100</f>
        <v>1121250000.0000002</v>
      </c>
      <c r="R36" s="8">
        <f t="shared" si="2"/>
        <v>1121250000.0000002</v>
      </c>
    </row>
    <row r="37" spans="1:18" s="2" customFormat="1" ht="36" x14ac:dyDescent="0.2">
      <c r="A37" s="5" t="s">
        <v>420</v>
      </c>
      <c r="B37" s="5" t="s">
        <v>836</v>
      </c>
      <c r="C37" s="10" t="s">
        <v>495</v>
      </c>
      <c r="D37" s="42" t="s">
        <v>534</v>
      </c>
      <c r="E37" s="5" t="s">
        <v>516</v>
      </c>
      <c r="F37" s="39" t="s">
        <v>522</v>
      </c>
      <c r="G37" s="5" t="s">
        <v>528</v>
      </c>
      <c r="H37" s="4">
        <v>10000000000</v>
      </c>
      <c r="I37" s="7">
        <v>8.9899999999999994E-2</v>
      </c>
      <c r="J37" s="34">
        <f t="shared" si="4"/>
        <v>10000000000</v>
      </c>
      <c r="K37" s="34">
        <f t="shared" si="3"/>
        <v>10000000000</v>
      </c>
      <c r="L37" s="34">
        <f t="shared" si="1"/>
        <v>10000000000</v>
      </c>
      <c r="M37" s="34"/>
      <c r="N37" s="4"/>
      <c r="O37" s="4"/>
      <c r="P37" s="4">
        <f>J37*8.99/100</f>
        <v>899000000</v>
      </c>
      <c r="Q37" s="4">
        <f>K37*8.99/100</f>
        <v>899000000</v>
      </c>
      <c r="R37" s="8">
        <f t="shared" si="2"/>
        <v>899000000</v>
      </c>
    </row>
    <row r="38" spans="1:18" s="2" customFormat="1" ht="36" x14ac:dyDescent="0.2">
      <c r="A38" s="5" t="s">
        <v>420</v>
      </c>
      <c r="B38" s="5" t="s">
        <v>837</v>
      </c>
      <c r="C38" s="10" t="s">
        <v>511</v>
      </c>
      <c r="D38" s="42" t="s">
        <v>535</v>
      </c>
      <c r="E38" s="5" t="s">
        <v>517</v>
      </c>
      <c r="F38" s="39" t="s">
        <v>523</v>
      </c>
      <c r="G38" s="5" t="s">
        <v>529</v>
      </c>
      <c r="H38" s="4">
        <v>13000000000</v>
      </c>
      <c r="I38" s="7">
        <v>8.6800000000000002E-2</v>
      </c>
      <c r="J38" s="34">
        <f t="shared" si="4"/>
        <v>13000000000</v>
      </c>
      <c r="K38" s="34">
        <f t="shared" si="3"/>
        <v>13000000000</v>
      </c>
      <c r="L38" s="34">
        <f t="shared" si="1"/>
        <v>13000000000</v>
      </c>
      <c r="M38" s="34"/>
      <c r="N38" s="4"/>
      <c r="O38" s="4"/>
      <c r="P38" s="4">
        <f>J38*8.68/100</f>
        <v>1128400000</v>
      </c>
      <c r="Q38" s="4">
        <f>K38*8.68/100</f>
        <v>1128400000</v>
      </c>
      <c r="R38" s="8">
        <f t="shared" si="2"/>
        <v>1128400000</v>
      </c>
    </row>
    <row r="39" spans="1:18" s="2" customFormat="1" ht="36" x14ac:dyDescent="0.2">
      <c r="A39" s="5" t="s">
        <v>420</v>
      </c>
      <c r="B39" s="5" t="s">
        <v>838</v>
      </c>
      <c r="C39" s="10" t="s">
        <v>512</v>
      </c>
      <c r="D39" s="42" t="s">
        <v>598</v>
      </c>
      <c r="E39" s="5" t="s">
        <v>518</v>
      </c>
      <c r="F39" s="39" t="s">
        <v>524</v>
      </c>
      <c r="G39" s="5" t="s">
        <v>530</v>
      </c>
      <c r="H39" s="4">
        <v>5000000000</v>
      </c>
      <c r="I39" s="7">
        <v>8.6900000000000005E-2</v>
      </c>
      <c r="J39" s="34">
        <f t="shared" si="4"/>
        <v>5000000000</v>
      </c>
      <c r="K39" s="34">
        <f t="shared" si="3"/>
        <v>5000000000</v>
      </c>
      <c r="L39" s="34">
        <f t="shared" si="1"/>
        <v>5000000000</v>
      </c>
      <c r="M39" s="34"/>
      <c r="N39" s="4"/>
      <c r="O39" s="4"/>
      <c r="P39" s="4">
        <f>J39*8.69/100</f>
        <v>434500000</v>
      </c>
      <c r="Q39" s="4">
        <f>K39*8.69/100</f>
        <v>434500000</v>
      </c>
      <c r="R39" s="8">
        <f t="shared" si="2"/>
        <v>434500000</v>
      </c>
    </row>
    <row r="40" spans="1:18" s="2" customFormat="1" ht="36" x14ac:dyDescent="0.2">
      <c r="A40" s="5" t="s">
        <v>420</v>
      </c>
      <c r="B40" s="5" t="s">
        <v>839</v>
      </c>
      <c r="C40" s="10" t="s">
        <v>600</v>
      </c>
      <c r="D40" s="42" t="s">
        <v>601</v>
      </c>
      <c r="E40" s="5" t="s">
        <v>599</v>
      </c>
      <c r="F40" s="39" t="s">
        <v>602</v>
      </c>
      <c r="G40" s="5" t="s">
        <v>603</v>
      </c>
      <c r="H40" s="4">
        <v>2000000000</v>
      </c>
      <c r="I40" s="7">
        <v>8.6199999999999999E-2</v>
      </c>
      <c r="J40" s="34">
        <f t="shared" si="4"/>
        <v>2000000000</v>
      </c>
      <c r="K40" s="34">
        <f t="shared" si="3"/>
        <v>2000000000</v>
      </c>
      <c r="L40" s="34">
        <f t="shared" si="1"/>
        <v>2000000000</v>
      </c>
      <c r="M40" s="34"/>
      <c r="N40" s="4"/>
      <c r="O40" s="4"/>
      <c r="P40" s="4">
        <f>K40*8.62%</f>
        <v>172400000</v>
      </c>
      <c r="Q40" s="4">
        <v>172400000</v>
      </c>
      <c r="R40" s="8">
        <f t="shared" si="2"/>
        <v>172400000</v>
      </c>
    </row>
    <row r="41" spans="1:18" s="2" customFormat="1" ht="36" x14ac:dyDescent="0.2">
      <c r="A41" s="5" t="s">
        <v>420</v>
      </c>
      <c r="B41" s="5" t="s">
        <v>840</v>
      </c>
      <c r="C41" s="10" t="s">
        <v>604</v>
      </c>
      <c r="D41" s="42" t="s">
        <v>605</v>
      </c>
      <c r="E41" s="5" t="s">
        <v>606</v>
      </c>
      <c r="F41" s="39" t="s">
        <v>607</v>
      </c>
      <c r="G41" s="5" t="s">
        <v>608</v>
      </c>
      <c r="H41" s="4">
        <v>11000000000</v>
      </c>
      <c r="I41" s="7">
        <v>8.6400000000000005E-2</v>
      </c>
      <c r="J41" s="34">
        <v>11000000000</v>
      </c>
      <c r="K41" s="34">
        <v>11000000000</v>
      </c>
      <c r="L41" s="34">
        <f t="shared" si="1"/>
        <v>11000000000</v>
      </c>
      <c r="M41" s="34"/>
      <c r="N41" s="4"/>
      <c r="O41" s="4"/>
      <c r="P41" s="4">
        <f>K41*8.64%</f>
        <v>950400000</v>
      </c>
      <c r="Q41" s="4">
        <v>950400000</v>
      </c>
      <c r="R41" s="8">
        <f t="shared" si="2"/>
        <v>950400000</v>
      </c>
    </row>
    <row r="42" spans="1:18" s="2" customFormat="1" ht="36" x14ac:dyDescent="0.2">
      <c r="A42" s="5" t="s">
        <v>536</v>
      </c>
      <c r="B42" s="5" t="s">
        <v>841</v>
      </c>
      <c r="C42" s="10" t="s">
        <v>609</v>
      </c>
      <c r="D42" s="42" t="s">
        <v>610</v>
      </c>
      <c r="E42" s="5" t="s">
        <v>611</v>
      </c>
      <c r="F42" s="39" t="s">
        <v>612</v>
      </c>
      <c r="G42" s="5" t="s">
        <v>613</v>
      </c>
      <c r="H42" s="4">
        <v>15000000000</v>
      </c>
      <c r="I42" s="7">
        <v>9.3899999999999997E-2</v>
      </c>
      <c r="J42" s="34"/>
      <c r="K42" s="34">
        <v>15000000000</v>
      </c>
      <c r="L42" s="34">
        <f t="shared" si="1"/>
        <v>15000000000</v>
      </c>
      <c r="M42" s="34"/>
      <c r="N42" s="4"/>
      <c r="O42" s="4"/>
      <c r="P42" s="4"/>
      <c r="Q42" s="4">
        <f>K42*9.39%</f>
        <v>1408500000.0000002</v>
      </c>
      <c r="R42" s="4">
        <f>Q42</f>
        <v>1408500000.0000002</v>
      </c>
    </row>
    <row r="43" spans="1:18" s="2" customFormat="1" ht="24" x14ac:dyDescent="0.2">
      <c r="A43" s="5" t="s">
        <v>536</v>
      </c>
      <c r="B43" s="5" t="s">
        <v>842</v>
      </c>
      <c r="C43" s="10" t="s">
        <v>614</v>
      </c>
      <c r="D43" s="42" t="s">
        <v>617</v>
      </c>
      <c r="E43" s="5" t="s">
        <v>615</v>
      </c>
      <c r="F43" s="39" t="s">
        <v>618</v>
      </c>
      <c r="G43" s="5" t="s">
        <v>616</v>
      </c>
      <c r="H43" s="4">
        <v>10000000000</v>
      </c>
      <c r="I43" s="7">
        <v>9.4E-2</v>
      </c>
      <c r="J43" s="34"/>
      <c r="K43" s="34">
        <v>10000000000</v>
      </c>
      <c r="L43" s="34">
        <f t="shared" si="1"/>
        <v>10000000000</v>
      </c>
      <c r="M43" s="34"/>
      <c r="N43" s="4"/>
      <c r="O43" s="4"/>
      <c r="P43" s="4"/>
      <c r="Q43" s="4">
        <f>K43*9.4%</f>
        <v>940000000</v>
      </c>
      <c r="R43" s="4">
        <f t="shared" ref="R43:R47" si="5">Q43</f>
        <v>940000000</v>
      </c>
    </row>
    <row r="44" spans="1:18" s="2" customFormat="1" ht="36" x14ac:dyDescent="0.2">
      <c r="A44" s="5" t="s">
        <v>536</v>
      </c>
      <c r="B44" s="5" t="s">
        <v>843</v>
      </c>
      <c r="C44" s="10" t="s">
        <v>619</v>
      </c>
      <c r="D44" s="42" t="s">
        <v>623</v>
      </c>
      <c r="E44" s="5" t="s">
        <v>620</v>
      </c>
      <c r="F44" s="39" t="s">
        <v>621</v>
      </c>
      <c r="G44" s="5" t="s">
        <v>622</v>
      </c>
      <c r="H44" s="4">
        <v>10000000000</v>
      </c>
      <c r="I44" s="7">
        <v>9.5200000000000007E-2</v>
      </c>
      <c r="J44" s="34"/>
      <c r="K44" s="34">
        <v>10000000000</v>
      </c>
      <c r="L44" s="34">
        <f t="shared" si="1"/>
        <v>10000000000</v>
      </c>
      <c r="M44" s="34"/>
      <c r="N44" s="4"/>
      <c r="O44" s="4"/>
      <c r="P44" s="4"/>
      <c r="Q44" s="4">
        <f>K44*9.52%</f>
        <v>951999999.99999988</v>
      </c>
      <c r="R44" s="4">
        <f t="shared" si="5"/>
        <v>951999999.99999988</v>
      </c>
    </row>
    <row r="45" spans="1:18" s="2" customFormat="1" ht="36" x14ac:dyDescent="0.2">
      <c r="A45" s="5" t="s">
        <v>536</v>
      </c>
      <c r="B45" s="5" t="s">
        <v>844</v>
      </c>
      <c r="C45" s="10" t="s">
        <v>688</v>
      </c>
      <c r="D45" s="42" t="s">
        <v>687</v>
      </c>
      <c r="E45" s="5" t="s">
        <v>624</v>
      </c>
      <c r="F45" s="39" t="s">
        <v>625</v>
      </c>
      <c r="G45" s="5" t="s">
        <v>626</v>
      </c>
      <c r="H45" s="4">
        <v>10000000000</v>
      </c>
      <c r="I45" s="7">
        <v>9.2899999999999996E-2</v>
      </c>
      <c r="J45" s="34"/>
      <c r="K45" s="34">
        <v>10000000000</v>
      </c>
      <c r="L45" s="34">
        <f t="shared" si="1"/>
        <v>10000000000</v>
      </c>
      <c r="M45" s="34"/>
      <c r="N45" s="4"/>
      <c r="O45" s="4"/>
      <c r="P45" s="4"/>
      <c r="Q45" s="4">
        <f>K45*9.29%</f>
        <v>929000000</v>
      </c>
      <c r="R45" s="4">
        <f t="shared" si="5"/>
        <v>929000000</v>
      </c>
    </row>
    <row r="46" spans="1:18" s="2" customFormat="1" ht="36" x14ac:dyDescent="0.2">
      <c r="A46" s="5" t="s">
        <v>536</v>
      </c>
      <c r="B46" s="5" t="s">
        <v>845</v>
      </c>
      <c r="C46" s="10" t="s">
        <v>677</v>
      </c>
      <c r="D46" s="42" t="s">
        <v>678</v>
      </c>
      <c r="E46" s="5" t="s">
        <v>679</v>
      </c>
      <c r="F46" s="39" t="s">
        <v>680</v>
      </c>
      <c r="G46" s="5" t="s">
        <v>681</v>
      </c>
      <c r="H46" s="4">
        <v>10000000000</v>
      </c>
      <c r="I46" s="7">
        <v>9.64E-2</v>
      </c>
      <c r="J46" s="34"/>
      <c r="K46" s="34">
        <v>10000000000</v>
      </c>
      <c r="L46" s="34">
        <f t="shared" si="1"/>
        <v>10000000000</v>
      </c>
      <c r="M46" s="34"/>
      <c r="N46" s="4"/>
      <c r="O46" s="4"/>
      <c r="P46" s="4"/>
      <c r="Q46" s="4">
        <v>964000000</v>
      </c>
      <c r="R46" s="4">
        <f t="shared" si="5"/>
        <v>964000000</v>
      </c>
    </row>
    <row r="47" spans="1:18" s="2" customFormat="1" ht="36" x14ac:dyDescent="0.2">
      <c r="A47" s="5" t="s">
        <v>536</v>
      </c>
      <c r="B47" s="5" t="s">
        <v>846</v>
      </c>
      <c r="C47" s="10" t="s">
        <v>682</v>
      </c>
      <c r="D47" s="42" t="s">
        <v>683</v>
      </c>
      <c r="E47" s="5" t="s">
        <v>684</v>
      </c>
      <c r="F47" s="39" t="s">
        <v>685</v>
      </c>
      <c r="G47" s="5" t="s">
        <v>686</v>
      </c>
      <c r="H47" s="4">
        <v>10000000000</v>
      </c>
      <c r="I47" s="7">
        <v>9.8400000000000001E-2</v>
      </c>
      <c r="J47" s="34"/>
      <c r="K47" s="34">
        <v>10000000000</v>
      </c>
      <c r="L47" s="34">
        <f t="shared" si="1"/>
        <v>10000000000</v>
      </c>
      <c r="M47" s="34"/>
      <c r="N47" s="4"/>
      <c r="O47" s="4"/>
      <c r="P47" s="4"/>
      <c r="Q47" s="4">
        <v>984000000</v>
      </c>
      <c r="R47" s="4">
        <f t="shared" si="5"/>
        <v>984000000</v>
      </c>
    </row>
    <row r="48" spans="1:18" s="2" customFormat="1" ht="37.5" x14ac:dyDescent="0.2">
      <c r="A48" s="5" t="s">
        <v>597</v>
      </c>
      <c r="B48" s="5"/>
      <c r="C48" s="10" t="s">
        <v>694</v>
      </c>
      <c r="D48" s="42" t="s">
        <v>695</v>
      </c>
      <c r="E48" s="5" t="s">
        <v>696</v>
      </c>
      <c r="F48" s="39" t="s">
        <v>697</v>
      </c>
      <c r="G48" s="5" t="s">
        <v>698</v>
      </c>
      <c r="H48" s="4">
        <v>10000000000</v>
      </c>
      <c r="I48" s="7">
        <v>8.7300000000000003E-2</v>
      </c>
      <c r="J48" s="34"/>
      <c r="K48" s="34"/>
      <c r="L48" s="34">
        <v>10000000000</v>
      </c>
      <c r="M48" s="34"/>
      <c r="N48" s="4"/>
      <c r="O48" s="4"/>
      <c r="P48" s="4"/>
      <c r="Q48" s="4"/>
      <c r="R48" s="4">
        <f>873000000</f>
        <v>873000000</v>
      </c>
    </row>
    <row r="49" spans="1:18" s="2" customFormat="1" ht="37.5" x14ac:dyDescent="0.2">
      <c r="A49" s="5" t="s">
        <v>597</v>
      </c>
      <c r="B49" s="5"/>
      <c r="C49" s="10" t="s">
        <v>699</v>
      </c>
      <c r="D49" s="42" t="s">
        <v>700</v>
      </c>
      <c r="E49" s="5" t="s">
        <v>701</v>
      </c>
      <c r="F49" s="39" t="s">
        <v>702</v>
      </c>
      <c r="G49" s="5" t="s">
        <v>704</v>
      </c>
      <c r="H49" s="4">
        <v>10000000000</v>
      </c>
      <c r="I49" s="7">
        <v>8.4500000000000006E-2</v>
      </c>
      <c r="J49" s="34"/>
      <c r="K49" s="34"/>
      <c r="L49" s="34">
        <v>10000000000</v>
      </c>
      <c r="M49" s="34"/>
      <c r="N49" s="4"/>
      <c r="O49" s="4"/>
      <c r="P49" s="4"/>
      <c r="Q49" s="4"/>
      <c r="R49" s="4">
        <f>845000000</f>
        <v>845000000</v>
      </c>
    </row>
    <row r="50" spans="1:18" s="2" customFormat="1" ht="37.5" x14ac:dyDescent="0.2">
      <c r="A50" s="5" t="s">
        <v>597</v>
      </c>
      <c r="B50" s="5"/>
      <c r="C50" s="10" t="s">
        <v>703</v>
      </c>
      <c r="D50" s="42" t="s">
        <v>727</v>
      </c>
      <c r="E50" s="5" t="s">
        <v>28</v>
      </c>
      <c r="F50" s="39" t="s">
        <v>705</v>
      </c>
      <c r="G50" s="5" t="s">
        <v>706</v>
      </c>
      <c r="H50" s="4">
        <v>10000000000</v>
      </c>
      <c r="I50" s="7">
        <v>8.1699999999999995E-2</v>
      </c>
      <c r="J50" s="34"/>
      <c r="K50" s="34"/>
      <c r="L50" s="34">
        <v>10000000000</v>
      </c>
      <c r="M50" s="34"/>
      <c r="N50" s="4"/>
      <c r="O50" s="4"/>
      <c r="P50" s="4"/>
      <c r="Q50" s="4"/>
      <c r="R50" s="4">
        <f>817000000</f>
        <v>817000000</v>
      </c>
    </row>
    <row r="51" spans="1:18" s="2" customFormat="1" ht="37.5" x14ac:dyDescent="0.2">
      <c r="A51" s="5" t="s">
        <v>597</v>
      </c>
      <c r="B51" s="5"/>
      <c r="C51" s="10" t="s">
        <v>728</v>
      </c>
      <c r="D51" s="42" t="s">
        <v>729</v>
      </c>
      <c r="E51" s="5" t="s">
        <v>730</v>
      </c>
      <c r="F51" s="39" t="s">
        <v>505</v>
      </c>
      <c r="G51" s="5" t="s">
        <v>731</v>
      </c>
      <c r="H51" s="4">
        <v>15000000000</v>
      </c>
      <c r="I51" s="7">
        <v>8.2500000000000004E-2</v>
      </c>
      <c r="J51" s="34"/>
      <c r="K51" s="34"/>
      <c r="L51" s="34">
        <v>15000000000</v>
      </c>
      <c r="M51" s="34"/>
      <c r="N51" s="4"/>
      <c r="O51" s="4"/>
      <c r="P51" s="4"/>
      <c r="Q51" s="4"/>
      <c r="R51" s="4">
        <v>1237500000</v>
      </c>
    </row>
    <row r="52" spans="1:18" s="2" customFormat="1" ht="37.5" x14ac:dyDescent="0.2">
      <c r="A52" s="5" t="s">
        <v>597</v>
      </c>
      <c r="B52" s="5"/>
      <c r="C52" s="10" t="s">
        <v>736</v>
      </c>
      <c r="D52" s="42" t="s">
        <v>732</v>
      </c>
      <c r="E52" s="5" t="s">
        <v>733</v>
      </c>
      <c r="F52" s="39" t="s">
        <v>734</v>
      </c>
      <c r="G52" s="5" t="s">
        <v>735</v>
      </c>
      <c r="H52" s="4">
        <v>15000000000</v>
      </c>
      <c r="I52" s="7">
        <v>8.1500000000000003E-2</v>
      </c>
      <c r="J52" s="34"/>
      <c r="K52" s="34"/>
      <c r="L52" s="34">
        <v>15000000000</v>
      </c>
      <c r="M52" s="34"/>
      <c r="N52" s="4"/>
      <c r="O52" s="4"/>
      <c r="P52" s="4"/>
      <c r="Q52" s="4"/>
      <c r="R52" s="4">
        <v>1222500000</v>
      </c>
    </row>
    <row r="53" spans="1:18" s="2" customFormat="1" ht="37.5" x14ac:dyDescent="0.2">
      <c r="A53" s="5" t="s">
        <v>597</v>
      </c>
      <c r="B53" s="5"/>
      <c r="C53" s="10" t="s">
        <v>737</v>
      </c>
      <c r="D53" s="42" t="s">
        <v>738</v>
      </c>
      <c r="E53" s="5" t="s">
        <v>739</v>
      </c>
      <c r="F53" s="39" t="s">
        <v>740</v>
      </c>
      <c r="G53" s="5" t="s">
        <v>741</v>
      </c>
      <c r="H53" s="4">
        <v>15000000000</v>
      </c>
      <c r="I53" s="7">
        <v>8.0799999999999997E-2</v>
      </c>
      <c r="J53" s="34"/>
      <c r="K53" s="34"/>
      <c r="L53" s="34">
        <v>15000000000</v>
      </c>
      <c r="M53" s="34"/>
      <c r="N53" s="4"/>
      <c r="O53" s="4"/>
      <c r="P53" s="4"/>
      <c r="Q53" s="4"/>
      <c r="R53" s="4">
        <v>1212000000</v>
      </c>
    </row>
    <row r="54" spans="1:18" s="2" customFormat="1" ht="37.5" x14ac:dyDescent="0.2">
      <c r="A54" s="5" t="s">
        <v>597</v>
      </c>
      <c r="B54" s="5"/>
      <c r="C54" s="10" t="s">
        <v>797</v>
      </c>
      <c r="D54" s="42" t="s">
        <v>798</v>
      </c>
      <c r="E54" s="5" t="s">
        <v>799</v>
      </c>
      <c r="F54" s="39" t="s">
        <v>800</v>
      </c>
      <c r="G54" s="5" t="s">
        <v>801</v>
      </c>
      <c r="H54" s="4">
        <v>6000000000</v>
      </c>
      <c r="I54" s="7">
        <v>8.0600000000000005E-2</v>
      </c>
      <c r="J54" s="34"/>
      <c r="K54" s="34"/>
      <c r="L54" s="34">
        <v>6000000000</v>
      </c>
      <c r="M54" s="34"/>
      <c r="N54" s="4"/>
      <c r="O54" s="4"/>
      <c r="P54" s="4"/>
      <c r="Q54" s="4"/>
      <c r="R54" s="4">
        <f>483600000</f>
        <v>483600000</v>
      </c>
    </row>
    <row r="55" spans="1:18" s="2" customFormat="1" ht="32.25" customHeight="1" x14ac:dyDescent="0.2">
      <c r="A55" s="5" t="s">
        <v>597</v>
      </c>
      <c r="B55" s="5"/>
      <c r="C55" s="151" t="s">
        <v>708</v>
      </c>
      <c r="D55" s="42"/>
      <c r="E55" s="5"/>
      <c r="F55" s="39"/>
      <c r="G55" s="5"/>
      <c r="H55" s="4">
        <v>10364500000</v>
      </c>
      <c r="I55" s="7">
        <v>8.2500000000000004E-2</v>
      </c>
      <c r="J55" s="34"/>
      <c r="K55" s="34"/>
      <c r="L55" s="34">
        <v>10364500000</v>
      </c>
      <c r="M55" s="34"/>
      <c r="N55" s="4"/>
      <c r="O55" s="4"/>
      <c r="P55" s="4"/>
      <c r="Q55" s="4"/>
      <c r="R55" s="4">
        <f>866471250</f>
        <v>866471250</v>
      </c>
    </row>
    <row r="56" spans="1:18" s="2" customFormat="1" ht="18.75" x14ac:dyDescent="0.2">
      <c r="A56" s="5" t="s">
        <v>689</v>
      </c>
      <c r="B56" s="5"/>
      <c r="C56" s="151" t="s">
        <v>118</v>
      </c>
      <c r="D56" s="42"/>
      <c r="E56" s="5"/>
      <c r="F56" s="39"/>
      <c r="G56" s="5"/>
      <c r="H56" s="34">
        <v>102851800000</v>
      </c>
      <c r="I56" s="7"/>
      <c r="J56" s="34"/>
      <c r="K56" s="34"/>
      <c r="L56" s="34"/>
      <c r="M56" s="34"/>
      <c r="N56" s="4"/>
      <c r="O56" s="4"/>
      <c r="P56" s="4"/>
      <c r="Q56" s="4"/>
      <c r="R56" s="4">
        <v>1377929225</v>
      </c>
    </row>
    <row r="57" spans="1:18" s="2" customFormat="1" ht="18.75" x14ac:dyDescent="0.2">
      <c r="A57" s="5"/>
      <c r="B57" s="5"/>
      <c r="C57" s="151"/>
      <c r="D57" s="42"/>
      <c r="E57" s="5"/>
      <c r="F57" s="39"/>
      <c r="G57" s="5"/>
      <c r="H57" s="34"/>
      <c r="I57" s="7"/>
      <c r="J57" s="34"/>
      <c r="K57" s="34"/>
      <c r="L57" s="34"/>
      <c r="M57" s="34"/>
      <c r="N57" s="4"/>
      <c r="O57" s="4"/>
      <c r="P57" s="4"/>
      <c r="Q57" s="4"/>
      <c r="R57" s="4"/>
    </row>
    <row r="58" spans="1:18" s="2" customFormat="1" ht="24.75" customHeight="1" x14ac:dyDescent="0.2">
      <c r="A58" s="5"/>
      <c r="B58" s="5"/>
      <c r="C58" s="165" t="s">
        <v>123</v>
      </c>
      <c r="D58" s="43"/>
      <c r="E58" s="5"/>
      <c r="F58" s="8"/>
      <c r="G58" s="8"/>
      <c r="H58" s="11">
        <f>SUM(H5:H56)</f>
        <v>507059580000</v>
      </c>
      <c r="I58" s="12"/>
      <c r="J58" s="11">
        <f>SUM(J5:J53)</f>
        <v>247843280000</v>
      </c>
      <c r="K58" s="11">
        <f>SUM(K5:K56)</f>
        <v>312843280000</v>
      </c>
      <c r="L58" s="11">
        <f>SUM(L5:L56)</f>
        <v>389873100000</v>
      </c>
      <c r="M58" s="11">
        <f>SUM(M5:M53)</f>
        <v>0</v>
      </c>
      <c r="N58" s="11">
        <f>SUM(N5:N56)</f>
        <v>14334680000</v>
      </c>
      <c r="O58" s="11">
        <f>SUM(O5:O56)</f>
        <v>12668850000</v>
      </c>
      <c r="P58" s="11">
        <f>SUM(P5:P53)</f>
        <v>20446072810</v>
      </c>
      <c r="Q58" s="11">
        <f>SUM(Q5:Q56)</f>
        <v>26447510710</v>
      </c>
      <c r="R58" s="11">
        <f>SUM(R5:R56)</f>
        <v>34239717000</v>
      </c>
    </row>
    <row r="59" spans="1:18" x14ac:dyDescent="0.2">
      <c r="D59" s="44"/>
      <c r="J59" s="74"/>
      <c r="K59" s="74"/>
      <c r="L59" s="74"/>
      <c r="M59" s="74"/>
      <c r="N59" s="74"/>
      <c r="O59" s="74"/>
      <c r="P59" s="75"/>
    </row>
    <row r="60" spans="1:18" x14ac:dyDescent="0.2">
      <c r="D60" s="44"/>
      <c r="H60" s="35"/>
      <c r="J60" s="35"/>
      <c r="K60" s="35"/>
      <c r="L60" s="35"/>
      <c r="M60" s="35"/>
      <c r="N60" s="35"/>
      <c r="O60" s="35"/>
      <c r="P60" s="35"/>
      <c r="Q60" s="35"/>
    </row>
    <row r="61" spans="1:18" x14ac:dyDescent="0.2">
      <c r="D61" s="44"/>
      <c r="H61" s="67"/>
      <c r="J61" s="67"/>
      <c r="K61" s="35"/>
      <c r="L61" s="35"/>
      <c r="M61" s="35"/>
      <c r="N61" s="131"/>
      <c r="O61" s="131"/>
      <c r="P61" s="35"/>
      <c r="Q61" s="35"/>
    </row>
    <row r="62" spans="1:18" x14ac:dyDescent="0.2">
      <c r="D62" s="44"/>
    </row>
    <row r="63" spans="1:18" x14ac:dyDescent="0.2">
      <c r="D63" s="44"/>
    </row>
    <row r="64" spans="1:18" x14ac:dyDescent="0.2">
      <c r="D64" s="44"/>
    </row>
    <row r="65" spans="4:4" x14ac:dyDescent="0.2">
      <c r="D65" s="44"/>
    </row>
    <row r="66" spans="4:4" x14ac:dyDescent="0.2">
      <c r="D66" s="44"/>
    </row>
    <row r="67" spans="4:4" x14ac:dyDescent="0.2">
      <c r="D67" s="44"/>
    </row>
    <row r="68" spans="4:4" x14ac:dyDescent="0.2">
      <c r="D68" s="44"/>
    </row>
    <row r="69" spans="4:4" x14ac:dyDescent="0.2">
      <c r="D69" s="44"/>
    </row>
    <row r="70" spans="4:4" x14ac:dyDescent="0.2">
      <c r="D70" s="44"/>
    </row>
    <row r="71" spans="4:4" x14ac:dyDescent="0.2">
      <c r="D71" s="45"/>
    </row>
    <row r="72" spans="4:4" x14ac:dyDescent="0.2">
      <c r="D72" s="45"/>
    </row>
    <row r="73" spans="4:4" x14ac:dyDescent="0.2">
      <c r="D73" s="45"/>
    </row>
    <row r="74" spans="4:4" x14ac:dyDescent="0.2">
      <c r="D74" s="45"/>
    </row>
    <row r="75" spans="4:4" x14ac:dyDescent="0.2">
      <c r="D75" s="45"/>
    </row>
    <row r="76" spans="4:4" x14ac:dyDescent="0.2">
      <c r="D76" s="45"/>
    </row>
    <row r="77" spans="4:4" x14ac:dyDescent="0.2">
      <c r="D77" s="45"/>
    </row>
    <row r="78" spans="4:4" x14ac:dyDescent="0.2">
      <c r="D78" s="45"/>
    </row>
    <row r="79" spans="4:4" x14ac:dyDescent="0.2">
      <c r="D79" s="45"/>
    </row>
    <row r="80" spans="4:4" x14ac:dyDescent="0.2">
      <c r="D80" s="45"/>
    </row>
    <row r="81" spans="4:4" x14ac:dyDescent="0.2">
      <c r="D81" s="45"/>
    </row>
    <row r="82" spans="4:4" x14ac:dyDescent="0.2">
      <c r="D82" s="45"/>
    </row>
    <row r="83" spans="4:4" x14ac:dyDescent="0.2">
      <c r="D83" s="45"/>
    </row>
    <row r="84" spans="4:4" x14ac:dyDescent="0.2">
      <c r="D84" s="45"/>
    </row>
    <row r="85" spans="4:4" x14ac:dyDescent="0.2">
      <c r="D85" s="45"/>
    </row>
    <row r="86" spans="4:4" x14ac:dyDescent="0.2">
      <c r="D86" s="45"/>
    </row>
    <row r="87" spans="4:4" x14ac:dyDescent="0.2">
      <c r="D87" s="45"/>
    </row>
    <row r="88" spans="4:4" x14ac:dyDescent="0.2">
      <c r="D88" s="45"/>
    </row>
    <row r="89" spans="4:4" x14ac:dyDescent="0.2">
      <c r="D89" s="45"/>
    </row>
    <row r="90" spans="4:4" x14ac:dyDescent="0.2">
      <c r="D90" s="45"/>
    </row>
  </sheetData>
  <mergeCells count="13">
    <mergeCell ref="J2:L2"/>
    <mergeCell ref="M2:O2"/>
    <mergeCell ref="P2:R2"/>
    <mergeCell ref="A1:R1"/>
    <mergeCell ref="F2:F3"/>
    <mergeCell ref="G2:G3"/>
    <mergeCell ref="D2:D3"/>
    <mergeCell ref="I2:I3"/>
    <mergeCell ref="A2:A3"/>
    <mergeCell ref="C2:C3"/>
    <mergeCell ref="H2:H3"/>
    <mergeCell ref="E2:E3"/>
    <mergeCell ref="B2:B3"/>
  </mergeCells>
  <phoneticPr fontId="0" type="noConversion"/>
  <printOptions horizontalCentered="1"/>
  <pageMargins left="0.35" right="0" top="0.35" bottom="0.32" header="0" footer="0"/>
  <pageSetup scale="65" firstPageNumber="3" orientation="landscape" useFirstPageNumber="1" r:id="rId1"/>
  <headerFooter alignWithMargins="0">
    <oddFooter>&amp;C&amp;P</oddFooter>
  </headerFooter>
  <rowBreaks count="1" manualBreakCount="1">
    <brk id="2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rgb="FF00B050"/>
  </sheetPr>
  <dimension ref="A1:P28"/>
  <sheetViews>
    <sheetView view="pageBreakPreview" zoomScale="95" zoomScaleSheetLayoutView="95" workbookViewId="0">
      <pane xSplit="3" ySplit="3" topLeftCell="E4" activePane="bottomRight" state="frozen"/>
      <selection activeCell="C13" sqref="C13"/>
      <selection pane="topRight" activeCell="C13" sqref="C13"/>
      <selection pane="bottomLeft" activeCell="C13" sqref="C13"/>
      <selection pane="bottomRight" activeCell="G24" sqref="G24"/>
    </sheetView>
  </sheetViews>
  <sheetFormatPr defaultRowHeight="15" x14ac:dyDescent="0.2"/>
  <cols>
    <col min="1" max="1" width="7.5703125" style="68" customWidth="1"/>
    <col min="2" max="2" width="8.85546875" style="68" customWidth="1"/>
    <col min="3" max="3" width="33.5703125" style="51" customWidth="1"/>
    <col min="4" max="4" width="0.140625" style="51" hidden="1" customWidth="1"/>
    <col min="5" max="5" width="11.5703125" style="51" customWidth="1"/>
    <col min="6" max="6" width="11.85546875" style="51" customWidth="1"/>
    <col min="7" max="7" width="10.85546875" style="51" customWidth="1"/>
    <col min="8" max="8" width="10.5703125" style="51" customWidth="1"/>
    <col min="9" max="10" width="10.7109375" style="51" customWidth="1"/>
    <col min="11" max="11" width="10.28515625" style="51" customWidth="1"/>
    <col min="12" max="12" width="10.7109375" style="51" customWidth="1"/>
    <col min="13" max="13" width="10.28515625" style="51" bestFit="1" customWidth="1"/>
    <col min="14" max="14" width="10.42578125" style="51" customWidth="1"/>
    <col min="15" max="15" width="10.7109375" style="51" customWidth="1"/>
    <col min="16" max="16" width="10.5703125" style="51" customWidth="1"/>
    <col min="17" max="16384" width="9.140625" style="51"/>
  </cols>
  <sheetData>
    <row r="1" spans="1:16" s="14" customFormat="1" ht="28.5" x14ac:dyDescent="0.2">
      <c r="A1" s="181" t="s">
        <v>181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</row>
    <row r="2" spans="1:16" s="14" customFormat="1" ht="31.5" customHeight="1" x14ac:dyDescent="0.2">
      <c r="A2" s="180" t="s">
        <v>211</v>
      </c>
      <c r="B2" s="180" t="s">
        <v>710</v>
      </c>
      <c r="C2" s="176" t="s">
        <v>162</v>
      </c>
      <c r="D2" s="176" t="s">
        <v>163</v>
      </c>
      <c r="E2" s="176" t="s">
        <v>164</v>
      </c>
      <c r="F2" s="176" t="s">
        <v>165</v>
      </c>
      <c r="G2" s="176" t="s">
        <v>166</v>
      </c>
      <c r="H2" s="176" t="s">
        <v>167</v>
      </c>
      <c r="I2" s="176" t="s">
        <v>210</v>
      </c>
      <c r="J2" s="176" t="s">
        <v>223</v>
      </c>
      <c r="K2" s="176" t="s">
        <v>315</v>
      </c>
      <c r="L2" s="176" t="s">
        <v>373</v>
      </c>
      <c r="M2" s="176" t="s">
        <v>439</v>
      </c>
      <c r="N2" s="176" t="s">
        <v>537</v>
      </c>
      <c r="O2" s="176" t="s">
        <v>627</v>
      </c>
      <c r="P2" s="176" t="s">
        <v>709</v>
      </c>
    </row>
    <row r="3" spans="1:16" s="14" customFormat="1" ht="15" customHeight="1" x14ac:dyDescent="0.2">
      <c r="A3" s="180"/>
      <c r="B3" s="180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</row>
    <row r="4" spans="1:16" s="19" customFormat="1" ht="15" customHeight="1" x14ac:dyDescent="0.2">
      <c r="A4" s="15">
        <v>1</v>
      </c>
      <c r="B4" s="15"/>
      <c r="C4" s="16">
        <v>2</v>
      </c>
      <c r="D4" s="16">
        <v>3</v>
      </c>
      <c r="E4" s="16">
        <v>3</v>
      </c>
      <c r="F4" s="16">
        <v>4</v>
      </c>
      <c r="G4" s="16">
        <v>5</v>
      </c>
      <c r="H4" s="16">
        <v>6</v>
      </c>
      <c r="I4" s="16">
        <v>7</v>
      </c>
      <c r="J4" s="16">
        <v>8</v>
      </c>
      <c r="K4" s="16">
        <v>9</v>
      </c>
      <c r="L4" s="16">
        <v>10</v>
      </c>
      <c r="M4" s="16">
        <v>11</v>
      </c>
      <c r="N4" s="16">
        <v>12</v>
      </c>
      <c r="O4" s="16">
        <v>13</v>
      </c>
      <c r="P4" s="16">
        <v>14</v>
      </c>
    </row>
    <row r="5" spans="1:16" s="14" customFormat="1" ht="30" customHeight="1" x14ac:dyDescent="0.2">
      <c r="A5" s="57">
        <v>1</v>
      </c>
      <c r="B5" s="152" t="s">
        <v>719</v>
      </c>
      <c r="C5" s="4" t="s">
        <v>168</v>
      </c>
      <c r="D5" s="86">
        <v>119834.84</v>
      </c>
      <c r="E5" s="86">
        <v>119834.84</v>
      </c>
      <c r="F5" s="86">
        <v>119834.84</v>
      </c>
      <c r="G5" s="86">
        <v>119834.84</v>
      </c>
      <c r="H5" s="86">
        <v>119834.84</v>
      </c>
      <c r="I5" s="86">
        <v>119834.84</v>
      </c>
      <c r="J5" s="86">
        <v>119834.84</v>
      </c>
      <c r="K5" s="87">
        <v>160400</v>
      </c>
      <c r="L5" s="87">
        <v>160400</v>
      </c>
      <c r="M5" s="87">
        <v>160400</v>
      </c>
      <c r="N5" s="87">
        <f t="shared" ref="N5:N17" si="0">M5</f>
        <v>160400</v>
      </c>
      <c r="O5" s="87">
        <v>60400</v>
      </c>
      <c r="P5" s="87">
        <v>60400</v>
      </c>
    </row>
    <row r="6" spans="1:16" s="14" customFormat="1" ht="30" customHeight="1" x14ac:dyDescent="0.2">
      <c r="A6" s="57">
        <v>2</v>
      </c>
      <c r="B6" s="152" t="s">
        <v>712</v>
      </c>
      <c r="C6" s="4" t="s">
        <v>169</v>
      </c>
      <c r="D6" s="86">
        <v>155695.64000000001</v>
      </c>
      <c r="E6" s="86">
        <v>155695.64000000001</v>
      </c>
      <c r="F6" s="86">
        <v>155695.64000000001</v>
      </c>
      <c r="G6" s="86">
        <v>148224.64000000001</v>
      </c>
      <c r="H6" s="86">
        <v>148224.64000000001</v>
      </c>
      <c r="I6" s="86">
        <v>148224.64000000001</v>
      </c>
      <c r="J6" s="86">
        <v>148224.64000000001</v>
      </c>
      <c r="K6" s="87">
        <v>198400</v>
      </c>
      <c r="L6" s="87">
        <v>198400</v>
      </c>
      <c r="M6" s="87">
        <v>198400</v>
      </c>
      <c r="N6" s="87">
        <f t="shared" si="0"/>
        <v>198400</v>
      </c>
      <c r="O6" s="87">
        <v>198400</v>
      </c>
      <c r="P6" s="87">
        <v>198400</v>
      </c>
    </row>
    <row r="7" spans="1:16" s="14" customFormat="1" ht="30" customHeight="1" x14ac:dyDescent="0.2">
      <c r="A7" s="57">
        <v>3</v>
      </c>
      <c r="B7" s="152" t="s">
        <v>713</v>
      </c>
      <c r="C7" s="4" t="s">
        <v>170</v>
      </c>
      <c r="D7" s="86">
        <v>8965</v>
      </c>
      <c r="E7" s="86">
        <v>8965</v>
      </c>
      <c r="F7" s="86">
        <v>8965</v>
      </c>
      <c r="G7" s="86">
        <v>8965</v>
      </c>
      <c r="H7" s="86">
        <v>8965.2000000000007</v>
      </c>
      <c r="I7" s="86">
        <v>8965.2000000000007</v>
      </c>
      <c r="J7" s="86">
        <v>8965.2000000000007</v>
      </c>
      <c r="K7" s="87">
        <v>12000</v>
      </c>
      <c r="L7" s="87">
        <v>12000</v>
      </c>
      <c r="M7" s="87">
        <v>12000</v>
      </c>
      <c r="N7" s="87">
        <f t="shared" si="0"/>
        <v>12000</v>
      </c>
      <c r="O7" s="87">
        <v>12000</v>
      </c>
      <c r="P7" s="87">
        <v>12000</v>
      </c>
    </row>
    <row r="8" spans="1:16" s="14" customFormat="1" ht="30" customHeight="1" x14ac:dyDescent="0.2">
      <c r="A8" s="57">
        <v>4</v>
      </c>
      <c r="B8" s="152" t="s">
        <v>714</v>
      </c>
      <c r="C8" s="4" t="s">
        <v>171</v>
      </c>
      <c r="D8" s="86">
        <v>23907.200000000001</v>
      </c>
      <c r="E8" s="86">
        <v>23907.200000000001</v>
      </c>
      <c r="F8" s="86">
        <v>23907.200000000001</v>
      </c>
      <c r="G8" s="86">
        <v>23907.200000000001</v>
      </c>
      <c r="H8" s="86">
        <v>23907.200000000001</v>
      </c>
      <c r="I8" s="86">
        <v>23907.200000000001</v>
      </c>
      <c r="J8" s="86">
        <v>23907.200000000001</v>
      </c>
      <c r="K8" s="87">
        <v>2000</v>
      </c>
      <c r="L8" s="87">
        <v>2000</v>
      </c>
      <c r="M8" s="87">
        <v>2000</v>
      </c>
      <c r="N8" s="87">
        <f t="shared" si="0"/>
        <v>2000</v>
      </c>
      <c r="O8" s="87">
        <v>2000</v>
      </c>
      <c r="P8" s="87">
        <v>2000</v>
      </c>
    </row>
    <row r="9" spans="1:16" s="14" customFormat="1" ht="30" customHeight="1" x14ac:dyDescent="0.2">
      <c r="A9" s="57">
        <v>5</v>
      </c>
      <c r="B9" s="152" t="s">
        <v>715</v>
      </c>
      <c r="C9" s="4" t="s">
        <v>172</v>
      </c>
      <c r="D9" s="86">
        <v>739854</v>
      </c>
      <c r="E9" s="86">
        <v>739854</v>
      </c>
      <c r="F9" s="86">
        <v>739854</v>
      </c>
      <c r="G9" s="86">
        <v>728945.47</v>
      </c>
      <c r="H9" s="86">
        <v>728945.47</v>
      </c>
      <c r="I9" s="86">
        <v>728945.47</v>
      </c>
      <c r="J9" s="86">
        <v>728945.47</v>
      </c>
      <c r="K9" s="87">
        <v>975700</v>
      </c>
      <c r="L9" s="87">
        <v>975700</v>
      </c>
      <c r="M9" s="87">
        <v>975700</v>
      </c>
      <c r="N9" s="87">
        <f t="shared" si="0"/>
        <v>975700</v>
      </c>
      <c r="O9" s="87">
        <v>975700</v>
      </c>
      <c r="P9" s="87">
        <v>975700</v>
      </c>
    </row>
    <row r="10" spans="1:16" s="14" customFormat="1" ht="30" customHeight="1" x14ac:dyDescent="0.2">
      <c r="A10" s="57">
        <v>6</v>
      </c>
      <c r="B10" s="152" t="s">
        <v>716</v>
      </c>
      <c r="C10" s="4" t="s">
        <v>173</v>
      </c>
      <c r="D10" s="86">
        <v>225615</v>
      </c>
      <c r="E10" s="86">
        <v>225615</v>
      </c>
      <c r="F10" s="86">
        <v>225615</v>
      </c>
      <c r="G10" s="86">
        <v>157189.84</v>
      </c>
      <c r="H10" s="86">
        <v>157189.84</v>
      </c>
      <c r="I10" s="86">
        <v>157189.84</v>
      </c>
      <c r="J10" s="86">
        <v>157189.84</v>
      </c>
      <c r="K10" s="87">
        <v>205400</v>
      </c>
      <c r="L10" s="87">
        <v>205400</v>
      </c>
      <c r="M10" s="87">
        <v>205400</v>
      </c>
      <c r="N10" s="87">
        <f t="shared" si="0"/>
        <v>205400</v>
      </c>
      <c r="O10" s="87">
        <v>205400</v>
      </c>
      <c r="P10" s="87">
        <v>205400</v>
      </c>
    </row>
    <row r="11" spans="1:16" s="14" customFormat="1" ht="30" customHeight="1" x14ac:dyDescent="0.2">
      <c r="A11" s="57">
        <v>7</v>
      </c>
      <c r="B11" s="152" t="s">
        <v>717</v>
      </c>
      <c r="C11" s="4" t="s">
        <v>174</v>
      </c>
      <c r="D11" s="86"/>
      <c r="E11" s="86">
        <v>373000</v>
      </c>
      <c r="F11" s="86">
        <v>373000</v>
      </c>
      <c r="G11" s="86">
        <v>128501.2</v>
      </c>
      <c r="H11" s="86">
        <v>92640.4</v>
      </c>
      <c r="I11" s="86">
        <v>92640.4</v>
      </c>
      <c r="J11" s="86">
        <v>92640.4</v>
      </c>
      <c r="K11" s="87">
        <v>53000</v>
      </c>
      <c r="L11" s="87">
        <v>53000</v>
      </c>
      <c r="M11" s="87">
        <v>53000</v>
      </c>
      <c r="N11" s="87">
        <f t="shared" si="0"/>
        <v>53000</v>
      </c>
      <c r="O11" s="87">
        <v>53000</v>
      </c>
      <c r="P11" s="87">
        <v>53000</v>
      </c>
    </row>
    <row r="12" spans="1:16" s="14" customFormat="1" ht="30" customHeight="1" x14ac:dyDescent="0.2">
      <c r="A12" s="57">
        <v>8</v>
      </c>
      <c r="B12" s="152" t="s">
        <v>718</v>
      </c>
      <c r="C12" s="4" t="s">
        <v>175</v>
      </c>
      <c r="D12" s="86"/>
      <c r="E12" s="86">
        <v>695000</v>
      </c>
      <c r="F12" s="86">
        <v>695000</v>
      </c>
      <c r="G12" s="86">
        <v>511763.5</v>
      </c>
      <c r="H12" s="86">
        <v>511763.5</v>
      </c>
      <c r="I12" s="86">
        <v>511763.5</v>
      </c>
      <c r="J12" s="86">
        <v>511763.5</v>
      </c>
      <c r="K12" s="87">
        <v>15000</v>
      </c>
      <c r="L12" s="87">
        <v>15000</v>
      </c>
      <c r="M12" s="87">
        <v>15000</v>
      </c>
      <c r="N12" s="87">
        <f t="shared" si="0"/>
        <v>15000</v>
      </c>
      <c r="O12" s="87">
        <v>15000</v>
      </c>
      <c r="P12" s="87">
        <v>15000</v>
      </c>
    </row>
    <row r="13" spans="1:16" s="14" customFormat="1" ht="30" customHeight="1" x14ac:dyDescent="0.2">
      <c r="A13" s="57">
        <v>9</v>
      </c>
      <c r="B13" s="152" t="s">
        <v>711</v>
      </c>
      <c r="C13" s="4" t="s">
        <v>176</v>
      </c>
      <c r="D13" s="86"/>
      <c r="E13" s="86">
        <v>5185000</v>
      </c>
      <c r="F13" s="86">
        <v>5185000</v>
      </c>
      <c r="G13" s="86">
        <v>1044445.8</v>
      </c>
      <c r="H13" s="86">
        <v>745605.8</v>
      </c>
      <c r="I13" s="86">
        <v>745605.8</v>
      </c>
      <c r="J13" s="86">
        <v>745605.8</v>
      </c>
      <c r="K13" s="87">
        <v>839000</v>
      </c>
      <c r="L13" s="87">
        <v>839000</v>
      </c>
      <c r="M13" s="87">
        <v>839000</v>
      </c>
      <c r="N13" s="87">
        <f t="shared" si="0"/>
        <v>839000</v>
      </c>
      <c r="O13" s="87">
        <v>839000</v>
      </c>
      <c r="P13" s="87">
        <v>839000</v>
      </c>
    </row>
    <row r="14" spans="1:16" s="14" customFormat="1" ht="30" customHeight="1" x14ac:dyDescent="0.2">
      <c r="A14" s="57">
        <v>10</v>
      </c>
      <c r="B14" s="152" t="s">
        <v>720</v>
      </c>
      <c r="C14" s="4" t="s">
        <v>177</v>
      </c>
      <c r="D14" s="86"/>
      <c r="E14" s="86"/>
      <c r="F14" s="86"/>
      <c r="G14" s="86"/>
      <c r="H14" s="86">
        <v>971230</v>
      </c>
      <c r="I14" s="87">
        <v>522970</v>
      </c>
      <c r="J14" s="87">
        <v>522970</v>
      </c>
      <c r="K14" s="87">
        <v>200000</v>
      </c>
      <c r="L14" s="87">
        <v>200000</v>
      </c>
      <c r="M14" s="87">
        <v>200000</v>
      </c>
      <c r="N14" s="87">
        <f t="shared" si="0"/>
        <v>200000</v>
      </c>
      <c r="O14" s="87">
        <v>200000</v>
      </c>
      <c r="P14" s="87">
        <v>200000</v>
      </c>
    </row>
    <row r="15" spans="1:16" s="14" customFormat="1" ht="30" customHeight="1" x14ac:dyDescent="0.2">
      <c r="A15" s="57">
        <v>11</v>
      </c>
      <c r="B15" s="152" t="s">
        <v>721</v>
      </c>
      <c r="C15" s="4" t="s">
        <v>314</v>
      </c>
      <c r="D15" s="86"/>
      <c r="E15" s="86"/>
      <c r="F15" s="86"/>
      <c r="G15" s="86"/>
      <c r="H15" s="86"/>
      <c r="I15" s="87"/>
      <c r="J15" s="87"/>
      <c r="K15" s="87">
        <v>34000</v>
      </c>
      <c r="L15" s="87">
        <v>34000</v>
      </c>
      <c r="M15" s="87">
        <v>20000</v>
      </c>
      <c r="N15" s="87">
        <f t="shared" si="0"/>
        <v>20000</v>
      </c>
      <c r="O15" s="87">
        <v>20000</v>
      </c>
      <c r="P15" s="87">
        <v>20000</v>
      </c>
    </row>
    <row r="16" spans="1:16" s="14" customFormat="1" ht="30" customHeight="1" x14ac:dyDescent="0.2">
      <c r="A16" s="57">
        <v>12</v>
      </c>
      <c r="B16" s="152" t="s">
        <v>722</v>
      </c>
      <c r="C16" s="4" t="s">
        <v>63</v>
      </c>
      <c r="D16" s="86"/>
      <c r="E16" s="86"/>
      <c r="F16" s="86"/>
      <c r="G16" s="86"/>
      <c r="H16" s="86"/>
      <c r="I16" s="87"/>
      <c r="J16" s="87"/>
      <c r="K16" s="87">
        <v>377000</v>
      </c>
      <c r="L16" s="87">
        <v>247000</v>
      </c>
      <c r="M16" s="87">
        <v>209000</v>
      </c>
      <c r="N16" s="87">
        <f t="shared" si="0"/>
        <v>209000</v>
      </c>
      <c r="O16" s="87">
        <v>209000</v>
      </c>
      <c r="P16" s="87">
        <v>209000</v>
      </c>
    </row>
    <row r="17" spans="1:16" s="14" customFormat="1" ht="30" customHeight="1" x14ac:dyDescent="0.2">
      <c r="A17" s="57">
        <v>13</v>
      </c>
      <c r="B17" s="152" t="s">
        <v>723</v>
      </c>
      <c r="C17" s="4" t="s">
        <v>440</v>
      </c>
      <c r="D17" s="86"/>
      <c r="E17" s="86"/>
      <c r="F17" s="86"/>
      <c r="G17" s="86"/>
      <c r="H17" s="86"/>
      <c r="I17" s="87"/>
      <c r="J17" s="87"/>
      <c r="K17" s="87"/>
      <c r="L17" s="87">
        <v>744000</v>
      </c>
      <c r="M17" s="87">
        <v>19000</v>
      </c>
      <c r="N17" s="87">
        <f t="shared" si="0"/>
        <v>19000</v>
      </c>
      <c r="O17" s="87">
        <v>19000</v>
      </c>
      <c r="P17" s="87">
        <v>19000</v>
      </c>
    </row>
    <row r="18" spans="1:16" s="14" customFormat="1" ht="30" customHeight="1" x14ac:dyDescent="0.2">
      <c r="A18" s="57">
        <v>14</v>
      </c>
      <c r="B18" s="152" t="s">
        <v>724</v>
      </c>
      <c r="C18" s="4" t="s">
        <v>64</v>
      </c>
      <c r="D18" s="86"/>
      <c r="E18" s="86"/>
      <c r="F18" s="86"/>
      <c r="G18" s="86"/>
      <c r="H18" s="86"/>
      <c r="I18" s="87"/>
      <c r="J18" s="87"/>
      <c r="K18" s="87"/>
      <c r="L18" s="87"/>
      <c r="M18" s="87">
        <v>2600000</v>
      </c>
      <c r="N18" s="87">
        <v>75000</v>
      </c>
      <c r="O18" s="87">
        <v>75000</v>
      </c>
      <c r="P18" s="87">
        <v>75000</v>
      </c>
    </row>
    <row r="19" spans="1:16" s="14" customFormat="1" ht="30" customHeight="1" x14ac:dyDescent="0.2">
      <c r="A19" s="57">
        <v>15</v>
      </c>
      <c r="B19" s="152" t="s">
        <v>725</v>
      </c>
      <c r="C19" s="4" t="s">
        <v>538</v>
      </c>
      <c r="D19" s="86"/>
      <c r="E19" s="86"/>
      <c r="F19" s="86"/>
      <c r="G19" s="86"/>
      <c r="H19" s="86"/>
      <c r="I19" s="87"/>
      <c r="J19" s="87"/>
      <c r="K19" s="87"/>
      <c r="L19" s="87"/>
      <c r="M19" s="87"/>
      <c r="N19" s="87">
        <v>130000</v>
      </c>
      <c r="O19" s="87">
        <v>130000</v>
      </c>
      <c r="P19" s="87">
        <v>130000</v>
      </c>
    </row>
    <row r="20" spans="1:16" s="14" customFormat="1" ht="30" customHeight="1" x14ac:dyDescent="0.2">
      <c r="A20" s="57">
        <v>16</v>
      </c>
      <c r="B20" s="152"/>
      <c r="C20" s="41" t="s">
        <v>123</v>
      </c>
      <c r="D20" s="88">
        <f>SUM(D5:D17)</f>
        <v>1273871.68</v>
      </c>
      <c r="E20" s="88">
        <f t="shared" ref="E20:M20" si="1">SUM(E5:E18)</f>
        <v>7526871.6799999997</v>
      </c>
      <c r="F20" s="88">
        <f t="shared" si="1"/>
        <v>7526871.6799999997</v>
      </c>
      <c r="G20" s="88">
        <f t="shared" si="1"/>
        <v>2871777.49</v>
      </c>
      <c r="H20" s="88">
        <f t="shared" si="1"/>
        <v>3508306.8899999997</v>
      </c>
      <c r="I20" s="88">
        <f t="shared" si="1"/>
        <v>3060046.8899999997</v>
      </c>
      <c r="J20" s="88">
        <f t="shared" si="1"/>
        <v>3060046.8899999997</v>
      </c>
      <c r="K20" s="88">
        <f t="shared" si="1"/>
        <v>3071900</v>
      </c>
      <c r="L20" s="88">
        <f t="shared" si="1"/>
        <v>3685900</v>
      </c>
      <c r="M20" s="88">
        <f t="shared" si="1"/>
        <v>5508900</v>
      </c>
      <c r="N20" s="88">
        <f>SUM(N5:N19)</f>
        <v>3113900</v>
      </c>
      <c r="O20" s="88">
        <f>SUM(O5:O19)</f>
        <v>3013900</v>
      </c>
      <c r="P20" s="88">
        <f>SUM(P5:P19)</f>
        <v>3013900</v>
      </c>
    </row>
    <row r="21" spans="1:16" ht="30" customHeight="1" x14ac:dyDescent="0.2">
      <c r="C21" s="135" t="s">
        <v>628</v>
      </c>
      <c r="D21" s="183" t="s">
        <v>726</v>
      </c>
      <c r="E21" s="184"/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</row>
    <row r="22" spans="1:16" ht="30" customHeight="1" x14ac:dyDescent="0.2"/>
    <row r="23" spans="1:16" ht="30" customHeight="1" x14ac:dyDescent="0.2"/>
    <row r="24" spans="1:16" ht="30" customHeight="1" x14ac:dyDescent="0.2"/>
    <row r="25" spans="1:16" s="52" customFormat="1" ht="30" customHeight="1" x14ac:dyDescent="0.2">
      <c r="A25" s="69"/>
      <c r="B25" s="69"/>
    </row>
    <row r="26" spans="1:16" ht="30" customHeight="1" x14ac:dyDescent="0.2">
      <c r="C26" s="70"/>
      <c r="D26" s="53"/>
      <c r="E26" s="53"/>
    </row>
    <row r="27" spans="1:16" ht="24.95" customHeight="1" x14ac:dyDescent="0.2"/>
    <row r="28" spans="1:16" ht="24.95" customHeight="1" x14ac:dyDescent="0.2"/>
  </sheetData>
  <mergeCells count="18">
    <mergeCell ref="L2:L3"/>
    <mergeCell ref="M2:M3"/>
    <mergeCell ref="P2:P3"/>
    <mergeCell ref="B2:B3"/>
    <mergeCell ref="A1:P1"/>
    <mergeCell ref="D21:P21"/>
    <mergeCell ref="A2:A3"/>
    <mergeCell ref="C2:C3"/>
    <mergeCell ref="E2:E3"/>
    <mergeCell ref="D2:D3"/>
    <mergeCell ref="O2:O3"/>
    <mergeCell ref="I2:I3"/>
    <mergeCell ref="K2:K3"/>
    <mergeCell ref="H2:H3"/>
    <mergeCell ref="F2:F3"/>
    <mergeCell ref="N2:N3"/>
    <mergeCell ref="G2:G3"/>
    <mergeCell ref="J2:J3"/>
  </mergeCells>
  <phoneticPr fontId="0" type="noConversion"/>
  <printOptions horizontalCentered="1" gridLines="1"/>
  <pageMargins left="0.39" right="0" top="0.46" bottom="0.31" header="0" footer="0.16"/>
  <pageSetup scale="75" firstPageNumber="6" orientation="landscape" useFirstPageNumber="1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rgb="FF00B050"/>
  </sheetPr>
  <dimension ref="A1:L8"/>
  <sheetViews>
    <sheetView view="pageBreakPreview" zoomScaleSheetLayoutView="100" workbookViewId="0">
      <pane ySplit="4" topLeftCell="A5" activePane="bottomLeft" state="frozen"/>
      <selection activeCell="C13" sqref="C13"/>
      <selection pane="bottomLeft" activeCell="C11" sqref="C11"/>
    </sheetView>
  </sheetViews>
  <sheetFormatPr defaultRowHeight="15" x14ac:dyDescent="0.2"/>
  <cols>
    <col min="1" max="1" width="18.42578125" style="14" customWidth="1"/>
    <col min="2" max="2" width="19.5703125" style="14" customWidth="1"/>
    <col min="3" max="3" width="16.85546875" style="14" customWidth="1"/>
    <col min="4" max="4" width="12.28515625" style="14" customWidth="1"/>
    <col min="5" max="5" width="10.85546875" style="14" customWidth="1"/>
    <col min="6" max="6" width="14.5703125" style="14" customWidth="1"/>
    <col min="7" max="8" width="12.5703125" style="14" bestFit="1" customWidth="1"/>
    <col min="9" max="9" width="10.85546875" style="14" customWidth="1"/>
    <col min="10" max="10" width="10.5703125" style="14" customWidth="1"/>
    <col min="11" max="12" width="10.5703125" style="14" bestFit="1" customWidth="1"/>
    <col min="13" max="16384" width="9.140625" style="14"/>
  </cols>
  <sheetData>
    <row r="1" spans="1:12" ht="35.25" customHeight="1" x14ac:dyDescent="0.2">
      <c r="A1" s="177" t="s">
        <v>91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</row>
    <row r="2" spans="1:12" s="19" customFormat="1" ht="34.5" customHeight="1" x14ac:dyDescent="0.2">
      <c r="A2" s="176" t="s">
        <v>53</v>
      </c>
      <c r="B2" s="176" t="s">
        <v>54</v>
      </c>
      <c r="C2" s="176" t="s">
        <v>55</v>
      </c>
      <c r="D2" s="176" t="s">
        <v>56</v>
      </c>
      <c r="E2" s="176" t="s">
        <v>92</v>
      </c>
      <c r="F2" s="176" t="s">
        <v>57</v>
      </c>
      <c r="G2" s="176" t="s">
        <v>60</v>
      </c>
      <c r="H2" s="176"/>
      <c r="I2" s="176" t="s">
        <v>61</v>
      </c>
      <c r="J2" s="176"/>
      <c r="K2" s="176" t="s">
        <v>62</v>
      </c>
      <c r="L2" s="176"/>
    </row>
    <row r="3" spans="1:12" s="19" customFormat="1" ht="23.25" customHeight="1" x14ac:dyDescent="0.2">
      <c r="A3" s="176"/>
      <c r="B3" s="176"/>
      <c r="C3" s="176"/>
      <c r="D3" s="176"/>
      <c r="E3" s="176"/>
      <c r="F3" s="176"/>
      <c r="G3" s="137" t="s">
        <v>596</v>
      </c>
      <c r="H3" s="137" t="s">
        <v>690</v>
      </c>
      <c r="I3" s="161" t="s">
        <v>597</v>
      </c>
      <c r="J3" s="161" t="s">
        <v>689</v>
      </c>
      <c r="K3" s="161" t="s">
        <v>597</v>
      </c>
      <c r="L3" s="161" t="s">
        <v>689</v>
      </c>
    </row>
    <row r="4" spans="1:12" s="2" customFormat="1" ht="12.75" x14ac:dyDescent="0.2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161">
        <v>7</v>
      </c>
      <c r="H4" s="161">
        <v>8</v>
      </c>
      <c r="I4" s="161">
        <v>9</v>
      </c>
      <c r="J4" s="161">
        <v>10</v>
      </c>
      <c r="K4" s="161">
        <v>11</v>
      </c>
      <c r="L4" s="161">
        <v>12</v>
      </c>
    </row>
    <row r="5" spans="1:12" s="2" customFormat="1" ht="56.25" x14ac:dyDescent="0.2">
      <c r="A5" s="46" t="s">
        <v>94</v>
      </c>
      <c r="B5" s="20"/>
      <c r="C5" s="40" t="s">
        <v>93</v>
      </c>
      <c r="D5" s="40" t="s">
        <v>93</v>
      </c>
      <c r="E5" s="9">
        <v>2.5</v>
      </c>
      <c r="F5" s="9">
        <v>313902216</v>
      </c>
      <c r="G5" s="8">
        <v>192736000</v>
      </c>
      <c r="H5" s="8">
        <f>G5-I5</f>
        <v>171736000</v>
      </c>
      <c r="I5" s="4">
        <v>21000000</v>
      </c>
      <c r="J5" s="4">
        <v>21000000</v>
      </c>
      <c r="K5" s="8">
        <v>5000000</v>
      </c>
      <c r="L5" s="8">
        <v>5000000</v>
      </c>
    </row>
    <row r="6" spans="1:12" s="2" customFormat="1" ht="38.25" customHeight="1" x14ac:dyDescent="0.2">
      <c r="A6" s="38" t="s">
        <v>95</v>
      </c>
      <c r="B6" s="1"/>
      <c r="C6" s="4"/>
      <c r="D6" s="4"/>
      <c r="E6" s="4"/>
      <c r="F6" s="11">
        <f t="shared" ref="F6:L6" si="0">F5</f>
        <v>313902216</v>
      </c>
      <c r="G6" s="11">
        <f t="shared" si="0"/>
        <v>192736000</v>
      </c>
      <c r="H6" s="11">
        <f t="shared" si="0"/>
        <v>171736000</v>
      </c>
      <c r="I6" s="11">
        <f t="shared" si="0"/>
        <v>21000000</v>
      </c>
      <c r="J6" s="11">
        <f t="shared" si="0"/>
        <v>21000000</v>
      </c>
      <c r="K6" s="11">
        <f t="shared" si="0"/>
        <v>5000000</v>
      </c>
      <c r="L6" s="11">
        <f t="shared" si="0"/>
        <v>5000000</v>
      </c>
    </row>
    <row r="8" spans="1:12" x14ac:dyDescent="0.2">
      <c r="A8" s="101"/>
      <c r="B8" s="2"/>
    </row>
  </sheetData>
  <mergeCells count="10">
    <mergeCell ref="I2:J2"/>
    <mergeCell ref="A1:L1"/>
    <mergeCell ref="G2:H2"/>
    <mergeCell ref="K2:L2"/>
    <mergeCell ref="F2:F3"/>
    <mergeCell ref="C2:C3"/>
    <mergeCell ref="D2:D3"/>
    <mergeCell ref="E2:E3"/>
    <mergeCell ref="A2:A3"/>
    <mergeCell ref="B2:B3"/>
  </mergeCells>
  <phoneticPr fontId="0" type="noConversion"/>
  <printOptions horizontalCentered="1" gridLines="1"/>
  <pageMargins left="0.43307086614173201" right="0" top="0.59055118110236204" bottom="0.39370078740157499" header="0" footer="0.21"/>
  <pageSetup scale="84" firstPageNumber="7" orientation="landscape" useFirstPageNumber="1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 enableFormatConditionsCalculation="0">
    <tabColor rgb="FF00B050"/>
  </sheetPr>
  <dimension ref="A1:P49"/>
  <sheetViews>
    <sheetView view="pageBreakPreview" zoomScale="115" zoomScaleSheetLayoutView="115" workbookViewId="0">
      <pane xSplit="1" ySplit="4" topLeftCell="C5" activePane="bottomRight" state="frozen"/>
      <selection activeCell="C13" sqref="C13"/>
      <selection pane="topRight" activeCell="C13" sqref="C13"/>
      <selection pane="bottomLeft" activeCell="C13" sqref="C13"/>
      <selection pane="bottomRight" activeCell="I56" sqref="I56"/>
    </sheetView>
  </sheetViews>
  <sheetFormatPr defaultRowHeight="12.75" x14ac:dyDescent="0.2"/>
  <cols>
    <col min="1" max="1" width="21.7109375" style="2" customWidth="1"/>
    <col min="2" max="2" width="13.28515625" style="2" customWidth="1"/>
    <col min="3" max="3" width="13.85546875" style="2" customWidth="1"/>
    <col min="4" max="4" width="7.42578125" style="2" customWidth="1"/>
    <col min="5" max="5" width="9.28515625" style="2" customWidth="1"/>
    <col min="6" max="6" width="16.42578125" style="36" bestFit="1" customWidth="1"/>
    <col min="7" max="7" width="8.28515625" style="2" customWidth="1"/>
    <col min="8" max="8" width="0.140625" style="129" hidden="1" customWidth="1"/>
    <col min="9" max="9" width="13.85546875" style="2" customWidth="1"/>
    <col min="10" max="10" width="13.85546875" style="148" customWidth="1"/>
    <col min="11" max="11" width="11" style="129" hidden="1" customWidth="1"/>
    <col min="12" max="12" width="10.85546875" style="2" customWidth="1"/>
    <col min="13" max="13" width="12" style="148" customWidth="1"/>
    <col min="14" max="14" width="11" style="130" hidden="1" customWidth="1"/>
    <col min="15" max="15" width="13.28515625" style="2" customWidth="1"/>
    <col min="16" max="16" width="12.7109375" style="148" customWidth="1"/>
    <col min="17" max="16384" width="9.140625" style="2"/>
  </cols>
  <sheetData>
    <row r="1" spans="1:16" ht="24" x14ac:dyDescent="0.2">
      <c r="A1" s="188" t="s">
        <v>96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</row>
    <row r="2" spans="1:16" ht="18.75" customHeight="1" x14ac:dyDescent="0.2">
      <c r="A2" s="176" t="s">
        <v>97</v>
      </c>
      <c r="B2" s="176" t="s">
        <v>98</v>
      </c>
      <c r="C2" s="176" t="s">
        <v>99</v>
      </c>
      <c r="D2" s="176" t="s">
        <v>100</v>
      </c>
      <c r="E2" s="176" t="s">
        <v>101</v>
      </c>
      <c r="F2" s="176" t="s">
        <v>102</v>
      </c>
      <c r="G2" s="176" t="s">
        <v>103</v>
      </c>
      <c r="H2" s="185" t="s">
        <v>60</v>
      </c>
      <c r="I2" s="186"/>
      <c r="J2" s="187"/>
      <c r="K2" s="185" t="s">
        <v>61</v>
      </c>
      <c r="L2" s="186"/>
      <c r="M2" s="187"/>
      <c r="N2" s="176" t="s">
        <v>62</v>
      </c>
      <c r="O2" s="176"/>
      <c r="P2" s="176"/>
    </row>
    <row r="3" spans="1:16" ht="36" customHeight="1" x14ac:dyDescent="0.2">
      <c r="A3" s="176"/>
      <c r="B3" s="176"/>
      <c r="C3" s="176"/>
      <c r="D3" s="176"/>
      <c r="E3" s="176"/>
      <c r="F3" s="176"/>
      <c r="G3" s="176"/>
      <c r="H3" s="137" t="s">
        <v>494</v>
      </c>
      <c r="I3" s="137" t="s">
        <v>596</v>
      </c>
      <c r="J3" s="137" t="s">
        <v>690</v>
      </c>
      <c r="K3" s="161" t="s">
        <v>536</v>
      </c>
      <c r="L3" s="161" t="s">
        <v>597</v>
      </c>
      <c r="M3" s="161" t="s">
        <v>689</v>
      </c>
      <c r="N3" s="161" t="s">
        <v>536</v>
      </c>
      <c r="O3" s="161" t="s">
        <v>597</v>
      </c>
      <c r="P3" s="161" t="s">
        <v>689</v>
      </c>
    </row>
    <row r="4" spans="1:16" s="21" customFormat="1" x14ac:dyDescent="0.2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8</v>
      </c>
      <c r="J4" s="1">
        <v>9</v>
      </c>
      <c r="K4" s="1">
        <v>10</v>
      </c>
      <c r="L4" s="1">
        <v>10</v>
      </c>
      <c r="M4" s="1">
        <v>11</v>
      </c>
      <c r="N4" s="77">
        <v>12</v>
      </c>
      <c r="O4" s="1">
        <v>12</v>
      </c>
      <c r="P4" s="1">
        <v>13</v>
      </c>
    </row>
    <row r="5" spans="1:16" s="21" customFormat="1" ht="37.5" x14ac:dyDescent="0.2">
      <c r="A5" s="47" t="s">
        <v>104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77"/>
      <c r="O5" s="76"/>
      <c r="P5" s="76"/>
    </row>
    <row r="6" spans="1:16" s="21" customFormat="1" ht="18.75" x14ac:dyDescent="0.2">
      <c r="A6" s="38" t="s">
        <v>105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77"/>
      <c r="O6" s="76"/>
      <c r="P6" s="76"/>
    </row>
    <row r="7" spans="1:16" s="13" customFormat="1" ht="56.25" x14ac:dyDescent="0.2">
      <c r="A7" s="20" t="s">
        <v>41</v>
      </c>
      <c r="B7" s="22">
        <v>14639300000</v>
      </c>
      <c r="C7" s="22">
        <v>10937000000</v>
      </c>
      <c r="D7" s="23">
        <v>25</v>
      </c>
      <c r="E7" s="23">
        <v>5</v>
      </c>
      <c r="F7" s="40" t="s">
        <v>121</v>
      </c>
      <c r="G7" s="25">
        <v>10.5</v>
      </c>
      <c r="H7" s="8">
        <v>6562200000</v>
      </c>
      <c r="I7" s="8">
        <f>H7-L7</f>
        <v>6015350000</v>
      </c>
      <c r="J7" s="8">
        <f>I7-M7</f>
        <v>5468500000</v>
      </c>
      <c r="K7" s="8">
        <v>546850000</v>
      </c>
      <c r="L7" s="8">
        <v>546850000</v>
      </c>
      <c r="M7" s="8">
        <v>546850000</v>
      </c>
      <c r="N7" s="8">
        <v>689031000</v>
      </c>
      <c r="O7" s="4">
        <v>631611750</v>
      </c>
      <c r="P7" s="4">
        <f>J7*10.5%</f>
        <v>574192500</v>
      </c>
    </row>
    <row r="8" spans="1:16" s="13" customFormat="1" ht="18.75" x14ac:dyDescent="0.2">
      <c r="A8" s="38" t="s">
        <v>106</v>
      </c>
      <c r="B8" s="26">
        <v>14639300000</v>
      </c>
      <c r="C8" s="26">
        <v>10937000000</v>
      </c>
      <c r="D8" s="26"/>
      <c r="E8" s="26"/>
      <c r="F8" s="24"/>
      <c r="G8" s="26"/>
      <c r="H8" s="26">
        <f t="shared" ref="H8:O8" si="0">SUM(H7)</f>
        <v>6562200000</v>
      </c>
      <c r="I8" s="26">
        <f t="shared" si="0"/>
        <v>6015350000</v>
      </c>
      <c r="J8" s="26">
        <f t="shared" si="0"/>
        <v>5468500000</v>
      </c>
      <c r="K8" s="26">
        <f t="shared" si="0"/>
        <v>546850000</v>
      </c>
      <c r="L8" s="26">
        <f>SUM(L7)</f>
        <v>546850000</v>
      </c>
      <c r="M8" s="26">
        <f>SUM(M7)</f>
        <v>546850000</v>
      </c>
      <c r="N8" s="33">
        <f t="shared" si="0"/>
        <v>689031000</v>
      </c>
      <c r="O8" s="26">
        <f t="shared" si="0"/>
        <v>631611750</v>
      </c>
      <c r="P8" s="26">
        <f>SUM(P7)</f>
        <v>574192500</v>
      </c>
    </row>
    <row r="9" spans="1:16" s="13" customFormat="1" ht="18.75" x14ac:dyDescent="0.2">
      <c r="A9" s="38" t="s">
        <v>107</v>
      </c>
      <c r="B9" s="26"/>
      <c r="C9" s="26"/>
      <c r="D9" s="26"/>
      <c r="E9" s="26"/>
      <c r="F9" s="24"/>
      <c r="G9" s="26"/>
      <c r="H9" s="26"/>
      <c r="I9" s="26"/>
      <c r="J9" s="26"/>
      <c r="K9" s="26"/>
      <c r="L9" s="26"/>
      <c r="M9" s="26"/>
      <c r="N9" s="33"/>
      <c r="O9" s="4"/>
      <c r="P9" s="4"/>
    </row>
    <row r="10" spans="1:16" s="13" customFormat="1" ht="56.25" x14ac:dyDescent="0.2">
      <c r="A10" s="20" t="s">
        <v>42</v>
      </c>
      <c r="B10" s="27">
        <v>17372239325</v>
      </c>
      <c r="C10" s="27">
        <v>12978800000</v>
      </c>
      <c r="D10" s="23">
        <v>25</v>
      </c>
      <c r="E10" s="23">
        <v>5</v>
      </c>
      <c r="F10" s="40" t="s">
        <v>121</v>
      </c>
      <c r="G10" s="25">
        <v>10.5</v>
      </c>
      <c r="H10" s="8">
        <v>8436220000</v>
      </c>
      <c r="I10" s="8">
        <f>H10-L10</f>
        <v>7787280000</v>
      </c>
      <c r="J10" s="8">
        <f>I10-M10</f>
        <v>7138340000</v>
      </c>
      <c r="K10" s="8">
        <v>648940000</v>
      </c>
      <c r="L10" s="8">
        <v>648940000</v>
      </c>
      <c r="M10" s="8">
        <v>648940000</v>
      </c>
      <c r="N10" s="8">
        <v>885803100</v>
      </c>
      <c r="O10" s="4">
        <v>817664400</v>
      </c>
      <c r="P10" s="4">
        <f>J10*10.5%</f>
        <v>749525700</v>
      </c>
    </row>
    <row r="11" spans="1:16" s="13" customFormat="1" ht="18.75" x14ac:dyDescent="0.2">
      <c r="A11" s="38" t="s">
        <v>108</v>
      </c>
      <c r="B11" s="26">
        <v>17372239325</v>
      </c>
      <c r="C11" s="26">
        <v>12978800000</v>
      </c>
      <c r="D11" s="26"/>
      <c r="E11" s="26"/>
      <c r="F11" s="24"/>
      <c r="G11" s="28"/>
      <c r="H11" s="26">
        <f t="shared" ref="H11:P11" si="1">SUM(H10)</f>
        <v>8436220000</v>
      </c>
      <c r="I11" s="26">
        <f t="shared" si="1"/>
        <v>7787280000</v>
      </c>
      <c r="J11" s="26">
        <f t="shared" si="1"/>
        <v>7138340000</v>
      </c>
      <c r="K11" s="26">
        <f t="shared" si="1"/>
        <v>648940000</v>
      </c>
      <c r="L11" s="26">
        <f t="shared" si="1"/>
        <v>648940000</v>
      </c>
      <c r="M11" s="26">
        <f t="shared" si="1"/>
        <v>648940000</v>
      </c>
      <c r="N11" s="33">
        <f t="shared" si="1"/>
        <v>885803100</v>
      </c>
      <c r="O11" s="26">
        <f t="shared" si="1"/>
        <v>817664400</v>
      </c>
      <c r="P11" s="26">
        <f t="shared" si="1"/>
        <v>749525700</v>
      </c>
    </row>
    <row r="12" spans="1:16" s="13" customFormat="1" ht="37.5" x14ac:dyDescent="0.2">
      <c r="A12" s="38" t="s">
        <v>109</v>
      </c>
      <c r="B12" s="27"/>
      <c r="C12" s="27"/>
      <c r="D12" s="27"/>
      <c r="E12" s="27"/>
      <c r="F12" s="29"/>
      <c r="G12" s="25"/>
      <c r="H12" s="4"/>
      <c r="I12" s="4"/>
      <c r="J12" s="4"/>
      <c r="K12" s="4"/>
      <c r="L12" s="4"/>
      <c r="M12" s="4"/>
      <c r="N12" s="8"/>
      <c r="O12" s="4"/>
      <c r="P12" s="4"/>
    </row>
    <row r="13" spans="1:16" s="13" customFormat="1" ht="18.75" x14ac:dyDescent="0.2">
      <c r="A13" s="38" t="s">
        <v>110</v>
      </c>
      <c r="B13" s="27"/>
      <c r="C13" s="27"/>
      <c r="D13" s="27"/>
      <c r="E13" s="27"/>
      <c r="F13" s="29"/>
      <c r="G13" s="25"/>
      <c r="H13" s="4"/>
      <c r="I13" s="4"/>
      <c r="J13" s="4"/>
      <c r="K13" s="4"/>
      <c r="L13" s="4"/>
      <c r="M13" s="4"/>
      <c r="N13" s="8"/>
      <c r="O13" s="4"/>
      <c r="P13" s="4"/>
    </row>
    <row r="14" spans="1:16" s="13" customFormat="1" ht="56.25" x14ac:dyDescent="0.2">
      <c r="A14" s="20" t="s">
        <v>43</v>
      </c>
      <c r="B14" s="27">
        <v>13102100000</v>
      </c>
      <c r="C14" s="27">
        <v>13102100000</v>
      </c>
      <c r="D14" s="23">
        <v>25</v>
      </c>
      <c r="E14" s="23">
        <v>5</v>
      </c>
      <c r="F14" s="40" t="s">
        <v>121</v>
      </c>
      <c r="G14" s="25">
        <v>10.5</v>
      </c>
      <c r="H14" s="8">
        <v>9171470000</v>
      </c>
      <c r="I14" s="8">
        <f>H14-L14</f>
        <v>8516365000</v>
      </c>
      <c r="J14" s="8">
        <f>I14-M14</f>
        <v>7861260000</v>
      </c>
      <c r="K14" s="8">
        <v>655105000</v>
      </c>
      <c r="L14" s="8">
        <v>655105000</v>
      </c>
      <c r="M14" s="8">
        <v>655105000</v>
      </c>
      <c r="N14" s="8">
        <v>963004350</v>
      </c>
      <c r="O14" s="4">
        <v>894218325</v>
      </c>
      <c r="P14" s="4">
        <f>J14*10.5%</f>
        <v>825432300</v>
      </c>
    </row>
    <row r="15" spans="1:16" s="13" customFormat="1" ht="18.75" x14ac:dyDescent="0.2">
      <c r="A15" s="38" t="s">
        <v>111</v>
      </c>
      <c r="B15" s="26">
        <v>13102100000</v>
      </c>
      <c r="C15" s="26">
        <v>13102100000</v>
      </c>
      <c r="D15" s="26"/>
      <c r="E15" s="26"/>
      <c r="F15" s="30"/>
      <c r="G15" s="28"/>
      <c r="H15" s="26">
        <f t="shared" ref="H15:P15" si="2">SUM(H14)</f>
        <v>9171470000</v>
      </c>
      <c r="I15" s="26">
        <f t="shared" si="2"/>
        <v>8516365000</v>
      </c>
      <c r="J15" s="26">
        <f t="shared" si="2"/>
        <v>7861260000</v>
      </c>
      <c r="K15" s="26">
        <f t="shared" si="2"/>
        <v>655105000</v>
      </c>
      <c r="L15" s="26">
        <f t="shared" si="2"/>
        <v>655105000</v>
      </c>
      <c r="M15" s="26">
        <f t="shared" si="2"/>
        <v>655105000</v>
      </c>
      <c r="N15" s="33">
        <f t="shared" si="2"/>
        <v>963004350</v>
      </c>
      <c r="O15" s="26">
        <f t="shared" si="2"/>
        <v>894218325</v>
      </c>
      <c r="P15" s="26">
        <f t="shared" si="2"/>
        <v>825432300</v>
      </c>
    </row>
    <row r="16" spans="1:16" s="13" customFormat="1" ht="18.75" x14ac:dyDescent="0.2">
      <c r="A16" s="38" t="s">
        <v>112</v>
      </c>
      <c r="B16" s="26"/>
      <c r="C16" s="26"/>
      <c r="D16" s="26"/>
      <c r="E16" s="26"/>
      <c r="F16" s="30"/>
      <c r="G16" s="28"/>
      <c r="H16" s="26"/>
      <c r="I16" s="26"/>
      <c r="J16" s="26"/>
      <c r="K16" s="26"/>
      <c r="L16" s="26"/>
      <c r="M16" s="26"/>
      <c r="N16" s="33"/>
      <c r="O16" s="4"/>
      <c r="P16" s="4"/>
    </row>
    <row r="17" spans="1:16" s="13" customFormat="1" ht="56.25" x14ac:dyDescent="0.2">
      <c r="A17" s="20" t="s">
        <v>44</v>
      </c>
      <c r="B17" s="27">
        <v>15752100000</v>
      </c>
      <c r="C17" s="27">
        <v>15752100000</v>
      </c>
      <c r="D17" s="23">
        <v>25</v>
      </c>
      <c r="E17" s="23">
        <v>5</v>
      </c>
      <c r="F17" s="40" t="s">
        <v>121</v>
      </c>
      <c r="G17" s="25">
        <v>10.5</v>
      </c>
      <c r="H17" s="8">
        <v>11814075000</v>
      </c>
      <c r="I17" s="8">
        <f>H17-L17</f>
        <v>11026470000</v>
      </c>
      <c r="J17" s="8">
        <f>I17-M17</f>
        <v>10238865000</v>
      </c>
      <c r="K17" s="8">
        <v>787605000</v>
      </c>
      <c r="L17" s="8">
        <v>787605000</v>
      </c>
      <c r="M17" s="8">
        <v>787605000</v>
      </c>
      <c r="N17" s="8">
        <v>1240477875</v>
      </c>
      <c r="O17" s="4">
        <v>1157779350</v>
      </c>
      <c r="P17" s="4">
        <f>J17*10.5%</f>
        <v>1075080825</v>
      </c>
    </row>
    <row r="18" spans="1:16" s="13" customFormat="1" ht="18.75" x14ac:dyDescent="0.2">
      <c r="A18" s="38" t="s">
        <v>113</v>
      </c>
      <c r="B18" s="26">
        <v>15752100000</v>
      </c>
      <c r="C18" s="26">
        <v>15752100000</v>
      </c>
      <c r="D18" s="26"/>
      <c r="E18" s="26"/>
      <c r="F18" s="30"/>
      <c r="G18" s="28"/>
      <c r="H18" s="26">
        <f t="shared" ref="H18:P18" si="3">SUM(H17)</f>
        <v>11814075000</v>
      </c>
      <c r="I18" s="26">
        <f t="shared" si="3"/>
        <v>11026470000</v>
      </c>
      <c r="J18" s="26">
        <f t="shared" si="3"/>
        <v>10238865000</v>
      </c>
      <c r="K18" s="26">
        <f t="shared" si="3"/>
        <v>787605000</v>
      </c>
      <c r="L18" s="26">
        <f t="shared" si="3"/>
        <v>787605000</v>
      </c>
      <c r="M18" s="26">
        <f t="shared" si="3"/>
        <v>787605000</v>
      </c>
      <c r="N18" s="33">
        <f t="shared" si="3"/>
        <v>1240477875</v>
      </c>
      <c r="O18" s="26">
        <f t="shared" si="3"/>
        <v>1157779350</v>
      </c>
      <c r="P18" s="26">
        <f t="shared" si="3"/>
        <v>1075080825</v>
      </c>
    </row>
    <row r="19" spans="1:16" s="13" customFormat="1" ht="18.75" x14ac:dyDescent="0.2">
      <c r="A19" s="38" t="s">
        <v>114</v>
      </c>
      <c r="B19" s="26"/>
      <c r="C19" s="26"/>
      <c r="D19" s="26"/>
      <c r="E19" s="26"/>
      <c r="F19" s="30"/>
      <c r="G19" s="28"/>
      <c r="H19" s="26"/>
      <c r="I19" s="26"/>
      <c r="J19" s="26"/>
      <c r="K19" s="26"/>
      <c r="L19" s="26"/>
      <c r="M19" s="26"/>
      <c r="N19" s="33"/>
      <c r="O19" s="4"/>
      <c r="P19" s="4"/>
    </row>
    <row r="20" spans="1:16" s="13" customFormat="1" ht="56.25" x14ac:dyDescent="0.2">
      <c r="A20" s="20" t="s">
        <v>45</v>
      </c>
      <c r="B20" s="27">
        <v>20685500000</v>
      </c>
      <c r="C20" s="27">
        <v>20685500000</v>
      </c>
      <c r="D20" s="23">
        <v>25</v>
      </c>
      <c r="E20" s="23">
        <v>5</v>
      </c>
      <c r="F20" s="40" t="s">
        <v>121</v>
      </c>
      <c r="G20" s="25">
        <v>9.5</v>
      </c>
      <c r="H20" s="8">
        <v>16548400000</v>
      </c>
      <c r="I20" s="8">
        <f>H20-L20</f>
        <v>15514125000</v>
      </c>
      <c r="J20" s="8">
        <f>I20-M20</f>
        <v>14479850000</v>
      </c>
      <c r="K20" s="8">
        <v>1034275000</v>
      </c>
      <c r="L20" s="8">
        <v>1034275000</v>
      </c>
      <c r="M20" s="8">
        <v>1034275000</v>
      </c>
      <c r="N20" s="8">
        <v>1572098000</v>
      </c>
      <c r="O20" s="4">
        <v>1473841875</v>
      </c>
      <c r="P20" s="4">
        <f>J20*9.5%</f>
        <v>1375585750</v>
      </c>
    </row>
    <row r="21" spans="1:16" s="13" customFormat="1" ht="18.75" x14ac:dyDescent="0.2">
      <c r="A21" s="38" t="s">
        <v>115</v>
      </c>
      <c r="B21" s="26">
        <v>20685500000</v>
      </c>
      <c r="C21" s="26">
        <v>20685500000</v>
      </c>
      <c r="D21" s="26"/>
      <c r="E21" s="26"/>
      <c r="F21" s="30"/>
      <c r="G21" s="28"/>
      <c r="H21" s="26">
        <f t="shared" ref="H21:P21" si="4">SUM(H20)</f>
        <v>16548400000</v>
      </c>
      <c r="I21" s="26">
        <f t="shared" si="4"/>
        <v>15514125000</v>
      </c>
      <c r="J21" s="26">
        <f t="shared" si="4"/>
        <v>14479850000</v>
      </c>
      <c r="K21" s="26">
        <f t="shared" si="4"/>
        <v>1034275000</v>
      </c>
      <c r="L21" s="26">
        <f t="shared" si="4"/>
        <v>1034275000</v>
      </c>
      <c r="M21" s="26">
        <f t="shared" si="4"/>
        <v>1034275000</v>
      </c>
      <c r="N21" s="33">
        <f t="shared" si="4"/>
        <v>1572098000</v>
      </c>
      <c r="O21" s="26">
        <f t="shared" si="4"/>
        <v>1473841875</v>
      </c>
      <c r="P21" s="26">
        <f t="shared" si="4"/>
        <v>1375585750</v>
      </c>
    </row>
    <row r="22" spans="1:16" s="13" customFormat="1" ht="18.75" x14ac:dyDescent="0.2">
      <c r="A22" s="38" t="s">
        <v>116</v>
      </c>
      <c r="B22" s="26"/>
      <c r="C22" s="26"/>
      <c r="D22" s="26"/>
      <c r="E22" s="26"/>
      <c r="F22" s="30"/>
      <c r="G22" s="26"/>
      <c r="H22" s="26"/>
      <c r="I22" s="26"/>
      <c r="J22" s="26"/>
      <c r="K22" s="26"/>
      <c r="L22" s="26"/>
      <c r="M22" s="26"/>
      <c r="N22" s="33"/>
      <c r="O22" s="89"/>
      <c r="P22" s="4"/>
    </row>
    <row r="23" spans="1:16" s="13" customFormat="1" ht="56.25" x14ac:dyDescent="0.2">
      <c r="A23" s="20" t="s">
        <v>46</v>
      </c>
      <c r="B23" s="31">
        <v>23003800000</v>
      </c>
      <c r="C23" s="31">
        <v>23003800000</v>
      </c>
      <c r="D23" s="23">
        <v>25</v>
      </c>
      <c r="E23" s="23">
        <v>5</v>
      </c>
      <c r="F23" s="40" t="s">
        <v>121</v>
      </c>
      <c r="G23" s="54">
        <v>9.5</v>
      </c>
      <c r="H23" s="8">
        <v>19553230000</v>
      </c>
      <c r="I23" s="8">
        <f>H23-K23</f>
        <v>18403040000</v>
      </c>
      <c r="J23" s="8">
        <f>I23-M23</f>
        <v>17252850000</v>
      </c>
      <c r="K23" s="8">
        <v>1150190000</v>
      </c>
      <c r="L23" s="8">
        <v>1150190000</v>
      </c>
      <c r="M23" s="8">
        <v>1150190000</v>
      </c>
      <c r="N23" s="8">
        <v>1857556850</v>
      </c>
      <c r="O23" s="4">
        <v>1748288800</v>
      </c>
      <c r="P23" s="4">
        <f>J23*9.5%</f>
        <v>1639020750</v>
      </c>
    </row>
    <row r="24" spans="1:16" s="13" customFormat="1" ht="18.75" x14ac:dyDescent="0.2">
      <c r="A24" s="38" t="s">
        <v>117</v>
      </c>
      <c r="B24" s="33">
        <v>23003800000</v>
      </c>
      <c r="C24" s="33">
        <v>23003800000</v>
      </c>
      <c r="D24" s="33"/>
      <c r="E24" s="33"/>
      <c r="F24" s="33"/>
      <c r="G24" s="33"/>
      <c r="H24" s="26">
        <f t="shared" ref="H24:P24" si="5">SUM(H23)</f>
        <v>19553230000</v>
      </c>
      <c r="I24" s="26">
        <f t="shared" si="5"/>
        <v>18403040000</v>
      </c>
      <c r="J24" s="26">
        <f t="shared" si="5"/>
        <v>17252850000</v>
      </c>
      <c r="K24" s="26">
        <f t="shared" si="5"/>
        <v>1150190000</v>
      </c>
      <c r="L24" s="26">
        <f t="shared" si="5"/>
        <v>1150190000</v>
      </c>
      <c r="M24" s="26">
        <f t="shared" si="5"/>
        <v>1150190000</v>
      </c>
      <c r="N24" s="33">
        <f t="shared" si="5"/>
        <v>1857556850</v>
      </c>
      <c r="O24" s="26">
        <f t="shared" si="5"/>
        <v>1748288800</v>
      </c>
      <c r="P24" s="26">
        <f t="shared" si="5"/>
        <v>1639020750</v>
      </c>
    </row>
    <row r="25" spans="1:16" s="13" customFormat="1" ht="18.75" x14ac:dyDescent="0.2">
      <c r="A25" s="38" t="s">
        <v>182</v>
      </c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4"/>
      <c r="P25" s="4"/>
    </row>
    <row r="26" spans="1:16" s="13" customFormat="1" ht="56.25" x14ac:dyDescent="0.2">
      <c r="A26" s="9" t="s">
        <v>47</v>
      </c>
      <c r="B26" s="34">
        <v>24936700000</v>
      </c>
      <c r="C26" s="34">
        <v>24936700000</v>
      </c>
      <c r="D26" s="23">
        <v>25</v>
      </c>
      <c r="E26" s="23">
        <v>5</v>
      </c>
      <c r="F26" s="40" t="s">
        <v>121</v>
      </c>
      <c r="G26" s="54">
        <v>9.5</v>
      </c>
      <c r="H26" s="34">
        <v>22443030000</v>
      </c>
      <c r="I26" s="34">
        <f>H26-K26</f>
        <v>21196195000</v>
      </c>
      <c r="J26" s="8">
        <f>I26-M26</f>
        <v>19949360000</v>
      </c>
      <c r="K26" s="8">
        <v>1246835000</v>
      </c>
      <c r="L26" s="8">
        <v>1246835000</v>
      </c>
      <c r="M26" s="8">
        <v>1246835000</v>
      </c>
      <c r="N26" s="8">
        <v>2132087850</v>
      </c>
      <c r="O26" s="4">
        <v>2013638525</v>
      </c>
      <c r="P26" s="4">
        <f>J26*9.5%</f>
        <v>1895189200</v>
      </c>
    </row>
    <row r="27" spans="1:16" s="13" customFormat="1" ht="18.75" x14ac:dyDescent="0.2">
      <c r="A27" s="38" t="s">
        <v>119</v>
      </c>
      <c r="B27" s="33">
        <f>B26</f>
        <v>24936700000</v>
      </c>
      <c r="C27" s="33">
        <f>C26</f>
        <v>24936700000</v>
      </c>
      <c r="D27" s="33"/>
      <c r="E27" s="33"/>
      <c r="F27" s="33"/>
      <c r="G27" s="33"/>
      <c r="H27" s="26">
        <f t="shared" ref="H27:P27" si="6">SUM(H26)</f>
        <v>22443030000</v>
      </c>
      <c r="I27" s="26">
        <f t="shared" si="6"/>
        <v>21196195000</v>
      </c>
      <c r="J27" s="26">
        <f t="shared" si="6"/>
        <v>19949360000</v>
      </c>
      <c r="K27" s="26">
        <f t="shared" si="6"/>
        <v>1246835000</v>
      </c>
      <c r="L27" s="26">
        <f t="shared" si="6"/>
        <v>1246835000</v>
      </c>
      <c r="M27" s="26">
        <f t="shared" si="6"/>
        <v>1246835000</v>
      </c>
      <c r="N27" s="33">
        <f t="shared" si="6"/>
        <v>2132087850</v>
      </c>
      <c r="O27" s="26">
        <f t="shared" si="6"/>
        <v>2013638525</v>
      </c>
      <c r="P27" s="26">
        <f t="shared" si="6"/>
        <v>1895189200</v>
      </c>
    </row>
    <row r="28" spans="1:16" s="13" customFormat="1" ht="56.25" x14ac:dyDescent="0.2">
      <c r="A28" s="40" t="s">
        <v>542</v>
      </c>
      <c r="B28" s="31">
        <v>21131900000</v>
      </c>
      <c r="C28" s="31">
        <v>21131900000</v>
      </c>
      <c r="D28" s="23">
        <v>25</v>
      </c>
      <c r="E28" s="23">
        <v>5</v>
      </c>
      <c r="F28" s="40" t="s">
        <v>121</v>
      </c>
      <c r="G28" s="28">
        <v>9.5</v>
      </c>
      <c r="H28" s="31">
        <v>20075305000</v>
      </c>
      <c r="I28" s="34">
        <f>H28-K28</f>
        <v>19018710000</v>
      </c>
      <c r="J28" s="8">
        <f>I28-M28</f>
        <v>17962115000</v>
      </c>
      <c r="K28" s="31">
        <v>1056595000</v>
      </c>
      <c r="L28" s="31">
        <v>1056595000</v>
      </c>
      <c r="M28" s="31">
        <v>1056595000</v>
      </c>
      <c r="N28" s="8">
        <v>1907153975</v>
      </c>
      <c r="O28" s="4">
        <v>1806777450</v>
      </c>
      <c r="P28" s="4">
        <f>J28*9.5%</f>
        <v>1706400925</v>
      </c>
    </row>
    <row r="29" spans="1:16" s="13" customFormat="1" ht="18.75" x14ac:dyDescent="0.2">
      <c r="A29" s="38" t="s">
        <v>120</v>
      </c>
      <c r="B29" s="33">
        <f>B28</f>
        <v>21131900000</v>
      </c>
      <c r="C29" s="33">
        <f>C28</f>
        <v>21131900000</v>
      </c>
      <c r="D29" s="33"/>
      <c r="E29" s="33"/>
      <c r="F29" s="40"/>
      <c r="G29" s="33"/>
      <c r="H29" s="26">
        <f t="shared" ref="H29:P29" si="7">SUM(H28)</f>
        <v>20075305000</v>
      </c>
      <c r="I29" s="26">
        <f t="shared" si="7"/>
        <v>19018710000</v>
      </c>
      <c r="J29" s="26">
        <f t="shared" si="7"/>
        <v>17962115000</v>
      </c>
      <c r="K29" s="26">
        <f t="shared" si="7"/>
        <v>1056595000</v>
      </c>
      <c r="L29" s="26">
        <f t="shared" si="7"/>
        <v>1056595000</v>
      </c>
      <c r="M29" s="26">
        <f t="shared" si="7"/>
        <v>1056595000</v>
      </c>
      <c r="N29" s="26">
        <f t="shared" si="7"/>
        <v>1907153975</v>
      </c>
      <c r="O29" s="26">
        <f t="shared" si="7"/>
        <v>1806777450</v>
      </c>
      <c r="P29" s="26">
        <f t="shared" si="7"/>
        <v>1706400925</v>
      </c>
    </row>
    <row r="30" spans="1:16" s="13" customFormat="1" ht="56.25" x14ac:dyDescent="0.2">
      <c r="A30" s="40" t="s">
        <v>541</v>
      </c>
      <c r="B30" s="27">
        <v>8466800000</v>
      </c>
      <c r="C30" s="31">
        <f>B30</f>
        <v>8466800000</v>
      </c>
      <c r="D30" s="23">
        <v>25</v>
      </c>
      <c r="E30" s="23">
        <v>5</v>
      </c>
      <c r="F30" s="40" t="s">
        <v>121</v>
      </c>
      <c r="G30" s="28">
        <v>9.5</v>
      </c>
      <c r="H30" s="27">
        <v>8466800000</v>
      </c>
      <c r="I30" s="27">
        <f>H30-K30</f>
        <v>8043460000</v>
      </c>
      <c r="J30" s="8">
        <f>I30-M30</f>
        <v>7620120000</v>
      </c>
      <c r="K30" s="27">
        <v>423340000</v>
      </c>
      <c r="L30" s="27">
        <v>423340000</v>
      </c>
      <c r="M30" s="27">
        <v>423340000</v>
      </c>
      <c r="N30" s="8">
        <v>804346000</v>
      </c>
      <c r="O30" s="4">
        <v>764128700</v>
      </c>
      <c r="P30" s="4">
        <f>J30*9.5%</f>
        <v>723911400</v>
      </c>
    </row>
    <row r="31" spans="1:16" s="13" customFormat="1" ht="18.75" x14ac:dyDescent="0.2">
      <c r="A31" s="38" t="s">
        <v>212</v>
      </c>
      <c r="B31" s="33">
        <f>B30</f>
        <v>8466800000</v>
      </c>
      <c r="C31" s="33">
        <f>C30</f>
        <v>8466800000</v>
      </c>
      <c r="D31" s="33"/>
      <c r="E31" s="33"/>
      <c r="F31" s="33"/>
      <c r="G31" s="33"/>
      <c r="H31" s="26">
        <f t="shared" ref="H31:P31" si="8">H30</f>
        <v>8466800000</v>
      </c>
      <c r="I31" s="26">
        <f t="shared" si="8"/>
        <v>8043460000</v>
      </c>
      <c r="J31" s="26">
        <f t="shared" si="8"/>
        <v>7620120000</v>
      </c>
      <c r="K31" s="26">
        <f t="shared" si="8"/>
        <v>423340000</v>
      </c>
      <c r="L31" s="26">
        <f t="shared" si="8"/>
        <v>423340000</v>
      </c>
      <c r="M31" s="26">
        <f t="shared" si="8"/>
        <v>423340000</v>
      </c>
      <c r="N31" s="26">
        <f t="shared" si="8"/>
        <v>804346000</v>
      </c>
      <c r="O31" s="26">
        <f t="shared" si="8"/>
        <v>764128700</v>
      </c>
      <c r="P31" s="26">
        <f t="shared" si="8"/>
        <v>723911400</v>
      </c>
    </row>
    <row r="32" spans="1:16" s="13" customFormat="1" ht="56.25" x14ac:dyDescent="0.2">
      <c r="A32" s="40" t="s">
        <v>218</v>
      </c>
      <c r="B32" s="31">
        <v>7929300000</v>
      </c>
      <c r="C32" s="31">
        <v>7929300000</v>
      </c>
      <c r="D32" s="23">
        <v>25</v>
      </c>
      <c r="E32" s="23">
        <v>5</v>
      </c>
      <c r="F32" s="40" t="s">
        <v>121</v>
      </c>
      <c r="G32" s="28">
        <v>9.5</v>
      </c>
      <c r="H32" s="27">
        <v>7929300000</v>
      </c>
      <c r="I32" s="31">
        <v>7929300000</v>
      </c>
      <c r="J32" s="8">
        <f>I32-M32</f>
        <v>7532835000</v>
      </c>
      <c r="K32" s="27">
        <v>0</v>
      </c>
      <c r="L32" s="27">
        <f>I32/20</f>
        <v>396465000</v>
      </c>
      <c r="M32" s="27">
        <v>396465000</v>
      </c>
      <c r="N32" s="8">
        <v>753283500</v>
      </c>
      <c r="O32" s="4">
        <v>753283500</v>
      </c>
      <c r="P32" s="4">
        <f>J32*9.5%</f>
        <v>715619325</v>
      </c>
    </row>
    <row r="33" spans="1:16" s="13" customFormat="1" ht="18.75" x14ac:dyDescent="0.2">
      <c r="A33" s="38" t="s">
        <v>219</v>
      </c>
      <c r="B33" s="33">
        <f>B32</f>
        <v>7929300000</v>
      </c>
      <c r="C33" s="33">
        <f>C32</f>
        <v>7929300000</v>
      </c>
      <c r="D33" s="23"/>
      <c r="E33" s="33"/>
      <c r="F33" s="33"/>
      <c r="G33" s="33"/>
      <c r="H33" s="33">
        <f t="shared" ref="H33:P33" si="9">H32</f>
        <v>7929300000</v>
      </c>
      <c r="I33" s="33">
        <f t="shared" si="9"/>
        <v>7929300000</v>
      </c>
      <c r="J33" s="33">
        <f t="shared" si="9"/>
        <v>7532835000</v>
      </c>
      <c r="K33" s="33">
        <f t="shared" si="9"/>
        <v>0</v>
      </c>
      <c r="L33" s="33">
        <f t="shared" si="9"/>
        <v>396465000</v>
      </c>
      <c r="M33" s="33">
        <f t="shared" si="9"/>
        <v>396465000</v>
      </c>
      <c r="N33" s="33">
        <f t="shared" si="9"/>
        <v>753283500</v>
      </c>
      <c r="O33" s="33">
        <f t="shared" si="9"/>
        <v>753283500</v>
      </c>
      <c r="P33" s="33">
        <f t="shared" si="9"/>
        <v>715619325</v>
      </c>
    </row>
    <row r="34" spans="1:16" s="13" customFormat="1" ht="56.25" x14ac:dyDescent="0.2">
      <c r="A34" s="40" t="s">
        <v>316</v>
      </c>
      <c r="B34" s="31">
        <v>18515700000</v>
      </c>
      <c r="C34" s="31">
        <f>B34</f>
        <v>18515700000</v>
      </c>
      <c r="D34" s="23">
        <v>25</v>
      </c>
      <c r="E34" s="23">
        <v>5</v>
      </c>
      <c r="F34" s="40" t="s">
        <v>121</v>
      </c>
      <c r="G34" s="28">
        <v>9.5</v>
      </c>
      <c r="H34" s="31">
        <v>18515700000</v>
      </c>
      <c r="I34" s="31">
        <f>C34</f>
        <v>18515700000</v>
      </c>
      <c r="J34" s="31">
        <v>18515700000</v>
      </c>
      <c r="K34" s="31">
        <v>0</v>
      </c>
      <c r="L34" s="31">
        <v>0</v>
      </c>
      <c r="M34" s="31">
        <v>925785000</v>
      </c>
      <c r="N34" s="8">
        <f>(H34-K34)*G34/100</f>
        <v>1758991500</v>
      </c>
      <c r="O34" s="4">
        <f>(I34-L34)*G34/100</f>
        <v>1758991500</v>
      </c>
      <c r="P34" s="4">
        <f>J34*9.5%</f>
        <v>1758991500</v>
      </c>
    </row>
    <row r="35" spans="1:16" s="99" customFormat="1" ht="18.75" x14ac:dyDescent="0.2">
      <c r="A35" s="96" t="s">
        <v>317</v>
      </c>
      <c r="B35" s="97">
        <f>B34</f>
        <v>18515700000</v>
      </c>
      <c r="C35" s="97">
        <f>C34</f>
        <v>18515700000</v>
      </c>
      <c r="D35" s="100"/>
      <c r="E35" s="97"/>
      <c r="F35" s="97"/>
      <c r="G35" s="97"/>
      <c r="H35" s="97">
        <f t="shared" ref="H35:P35" si="10">H34</f>
        <v>18515700000</v>
      </c>
      <c r="I35" s="97">
        <f t="shared" si="10"/>
        <v>18515700000</v>
      </c>
      <c r="J35" s="97">
        <f t="shared" si="10"/>
        <v>18515700000</v>
      </c>
      <c r="K35" s="97">
        <f t="shared" si="10"/>
        <v>0</v>
      </c>
      <c r="L35" s="97">
        <f t="shared" si="10"/>
        <v>0</v>
      </c>
      <c r="M35" s="97">
        <f t="shared" si="10"/>
        <v>925785000</v>
      </c>
      <c r="N35" s="97">
        <f t="shared" si="10"/>
        <v>1758991500</v>
      </c>
      <c r="O35" s="97">
        <f t="shared" si="10"/>
        <v>1758991500</v>
      </c>
      <c r="P35" s="97">
        <f t="shared" si="10"/>
        <v>1758991500</v>
      </c>
    </row>
    <row r="36" spans="1:16" s="13" customFormat="1" ht="56.25" x14ac:dyDescent="0.2">
      <c r="A36" s="40" t="s">
        <v>318</v>
      </c>
      <c r="B36" s="31">
        <v>20156900000</v>
      </c>
      <c r="C36" s="31">
        <f>B36</f>
        <v>20156900000</v>
      </c>
      <c r="D36" s="23">
        <v>25</v>
      </c>
      <c r="E36" s="23">
        <v>5</v>
      </c>
      <c r="F36" s="40" t="s">
        <v>121</v>
      </c>
      <c r="G36" s="28">
        <v>9.5</v>
      </c>
      <c r="H36" s="31">
        <v>20156900000</v>
      </c>
      <c r="I36" s="31">
        <v>20156900000</v>
      </c>
      <c r="J36" s="31">
        <v>20156900000</v>
      </c>
      <c r="K36" s="31">
        <v>0</v>
      </c>
      <c r="L36" s="31">
        <v>0</v>
      </c>
      <c r="M36" s="31">
        <v>0</v>
      </c>
      <c r="N36" s="8">
        <f>(H36-K36)*G36/100</f>
        <v>1914905500</v>
      </c>
      <c r="O36" s="4">
        <f>(I36-L36)*G36/100</f>
        <v>1914905500</v>
      </c>
      <c r="P36" s="4">
        <f>J36*9.5%</f>
        <v>1914905500</v>
      </c>
    </row>
    <row r="37" spans="1:16" s="13" customFormat="1" ht="18.75" x14ac:dyDescent="0.2">
      <c r="A37" s="38" t="s">
        <v>435</v>
      </c>
      <c r="B37" s="33">
        <f>SUM(B36)</f>
        <v>20156900000</v>
      </c>
      <c r="C37" s="33">
        <f>SUM(C36)</f>
        <v>20156900000</v>
      </c>
      <c r="D37" s="23"/>
      <c r="E37" s="33"/>
      <c r="F37" s="40"/>
      <c r="G37" s="84"/>
      <c r="H37" s="33">
        <f>SUM(H36)</f>
        <v>20156900000</v>
      </c>
      <c r="I37" s="33">
        <f>SUM(I36)</f>
        <v>20156900000</v>
      </c>
      <c r="J37" s="33">
        <f>SUM(J36)</f>
        <v>20156900000</v>
      </c>
      <c r="K37" s="31"/>
      <c r="L37" s="33">
        <f>SUM(L36)</f>
        <v>0</v>
      </c>
      <c r="M37" s="33">
        <f>SUM(M36)</f>
        <v>0</v>
      </c>
      <c r="N37" s="33">
        <f>SUM(N36)</f>
        <v>1914905500</v>
      </c>
      <c r="O37" s="33">
        <f>SUM(O36)</f>
        <v>1914905500</v>
      </c>
      <c r="P37" s="33">
        <f>SUM(P36)</f>
        <v>1914905500</v>
      </c>
    </row>
    <row r="38" spans="1:16" s="13" customFormat="1" ht="18.75" x14ac:dyDescent="0.2">
      <c r="A38" s="38" t="s">
        <v>118</v>
      </c>
      <c r="B38" s="33"/>
      <c r="C38" s="33"/>
      <c r="D38" s="23"/>
      <c r="E38" s="33"/>
      <c r="F38" s="40"/>
      <c r="G38" s="84"/>
      <c r="H38" s="33"/>
      <c r="I38" s="33"/>
      <c r="J38" s="33"/>
      <c r="K38" s="31"/>
      <c r="L38" s="31"/>
      <c r="M38" s="31"/>
      <c r="N38" s="33"/>
      <c r="O38" s="33"/>
      <c r="P38" s="4"/>
    </row>
    <row r="39" spans="1:16" s="13" customFormat="1" ht="56.25" x14ac:dyDescent="0.2">
      <c r="A39" s="40" t="s">
        <v>374</v>
      </c>
      <c r="B39" s="31">
        <v>11125400000</v>
      </c>
      <c r="C39" s="31">
        <f>B39</f>
        <v>11125400000</v>
      </c>
      <c r="D39" s="23">
        <v>25</v>
      </c>
      <c r="E39" s="23">
        <v>5</v>
      </c>
      <c r="F39" s="40" t="s">
        <v>121</v>
      </c>
      <c r="G39" s="28">
        <v>9.5</v>
      </c>
      <c r="H39" s="31">
        <v>11125400000</v>
      </c>
      <c r="I39" s="31">
        <v>11125400000</v>
      </c>
      <c r="J39" s="31">
        <v>11125400000</v>
      </c>
      <c r="K39" s="31">
        <v>0</v>
      </c>
      <c r="L39" s="31">
        <v>0</v>
      </c>
      <c r="M39" s="31">
        <v>0</v>
      </c>
      <c r="N39" s="8">
        <f>(H39-K39)*G39/100</f>
        <v>1056913000</v>
      </c>
      <c r="O39" s="4">
        <f>I39*9.5/100</f>
        <v>1056913000</v>
      </c>
      <c r="P39" s="4">
        <f>J39*9.5%</f>
        <v>1056913000</v>
      </c>
    </row>
    <row r="40" spans="1:16" s="13" customFormat="1" ht="18.75" x14ac:dyDescent="0.2">
      <c r="A40" s="38" t="s">
        <v>436</v>
      </c>
      <c r="B40" s="33">
        <f>SUM(B39)</f>
        <v>11125400000</v>
      </c>
      <c r="C40" s="33">
        <f>SUM(C39)</f>
        <v>11125400000</v>
      </c>
      <c r="D40" s="23"/>
      <c r="E40" s="23"/>
      <c r="F40" s="40"/>
      <c r="G40" s="28"/>
      <c r="H40" s="33">
        <f t="shared" ref="H40:P40" si="11">SUM(H39)</f>
        <v>11125400000</v>
      </c>
      <c r="I40" s="33">
        <f t="shared" si="11"/>
        <v>11125400000</v>
      </c>
      <c r="J40" s="33">
        <f t="shared" si="11"/>
        <v>11125400000</v>
      </c>
      <c r="K40" s="33">
        <f t="shared" si="11"/>
        <v>0</v>
      </c>
      <c r="L40" s="33">
        <f t="shared" si="11"/>
        <v>0</v>
      </c>
      <c r="M40" s="33">
        <f t="shared" si="11"/>
        <v>0</v>
      </c>
      <c r="N40" s="33">
        <f t="shared" si="11"/>
        <v>1056913000</v>
      </c>
      <c r="O40" s="33">
        <f t="shared" si="11"/>
        <v>1056913000</v>
      </c>
      <c r="P40" s="33">
        <f t="shared" si="11"/>
        <v>1056913000</v>
      </c>
    </row>
    <row r="41" spans="1:16" s="13" customFormat="1" ht="56.25" x14ac:dyDescent="0.2">
      <c r="A41" s="40" t="s">
        <v>437</v>
      </c>
      <c r="B41" s="31">
        <v>10055100000</v>
      </c>
      <c r="C41" s="31">
        <f>B41</f>
        <v>10055100000</v>
      </c>
      <c r="D41" s="23">
        <v>25</v>
      </c>
      <c r="E41" s="23">
        <v>5</v>
      </c>
      <c r="F41" s="40" t="s">
        <v>121</v>
      </c>
      <c r="G41" s="28">
        <v>9.5</v>
      </c>
      <c r="H41" s="31">
        <v>10055100000</v>
      </c>
      <c r="I41" s="31">
        <v>10055100000</v>
      </c>
      <c r="J41" s="31">
        <v>10055100000</v>
      </c>
      <c r="K41" s="31"/>
      <c r="L41" s="31">
        <v>0</v>
      </c>
      <c r="M41" s="31">
        <v>0</v>
      </c>
      <c r="N41" s="31">
        <v>955234500</v>
      </c>
      <c r="O41" s="4">
        <f>I41*9.5/100</f>
        <v>955234500</v>
      </c>
      <c r="P41" s="4">
        <f>J41*9.5%</f>
        <v>955234500</v>
      </c>
    </row>
    <row r="42" spans="1:16" s="13" customFormat="1" ht="20.25" customHeight="1" x14ac:dyDescent="0.2">
      <c r="A42" s="38" t="s">
        <v>438</v>
      </c>
      <c r="B42" s="33">
        <f>SUM(B41)</f>
        <v>10055100000</v>
      </c>
      <c r="C42" s="33">
        <f t="shared" ref="C42:P42" si="12">SUM(C41)</f>
        <v>10055100000</v>
      </c>
      <c r="D42" s="33"/>
      <c r="E42" s="33"/>
      <c r="F42" s="33"/>
      <c r="G42" s="33"/>
      <c r="H42" s="33">
        <f t="shared" si="12"/>
        <v>10055100000</v>
      </c>
      <c r="I42" s="33">
        <f t="shared" si="12"/>
        <v>10055100000</v>
      </c>
      <c r="J42" s="33">
        <f t="shared" si="12"/>
        <v>10055100000</v>
      </c>
      <c r="K42" s="33">
        <f t="shared" si="12"/>
        <v>0</v>
      </c>
      <c r="L42" s="33">
        <f t="shared" si="12"/>
        <v>0</v>
      </c>
      <c r="M42" s="33">
        <f t="shared" si="12"/>
        <v>0</v>
      </c>
      <c r="N42" s="33">
        <f t="shared" si="12"/>
        <v>955234500</v>
      </c>
      <c r="O42" s="33">
        <f t="shared" si="12"/>
        <v>955234500</v>
      </c>
      <c r="P42" s="33">
        <f t="shared" si="12"/>
        <v>955234500</v>
      </c>
    </row>
    <row r="43" spans="1:16" s="13" customFormat="1" ht="56.25" x14ac:dyDescent="0.2">
      <c r="A43" s="40" t="s">
        <v>539</v>
      </c>
      <c r="B43" s="31">
        <v>8500000000</v>
      </c>
      <c r="C43" s="31">
        <f>B43</f>
        <v>8500000000</v>
      </c>
      <c r="D43" s="23">
        <v>25</v>
      </c>
      <c r="E43" s="23">
        <v>5</v>
      </c>
      <c r="F43" s="40" t="s">
        <v>121</v>
      </c>
      <c r="G43" s="28">
        <v>9.5</v>
      </c>
      <c r="H43" s="31"/>
      <c r="I43" s="31">
        <v>13864856000</v>
      </c>
      <c r="J43" s="31">
        <v>13864856000</v>
      </c>
      <c r="K43" s="31"/>
      <c r="L43" s="31">
        <v>0</v>
      </c>
      <c r="M43" s="31">
        <v>0</v>
      </c>
      <c r="N43" s="31"/>
      <c r="O43" s="31">
        <v>1317161320</v>
      </c>
      <c r="P43" s="4">
        <f>J43*9.5%</f>
        <v>1317161320</v>
      </c>
    </row>
    <row r="44" spans="1:16" s="13" customFormat="1" ht="18.75" x14ac:dyDescent="0.2">
      <c r="A44" s="38" t="s">
        <v>540</v>
      </c>
      <c r="B44" s="33">
        <f>SUM(B43)</f>
        <v>8500000000</v>
      </c>
      <c r="C44" s="33">
        <f t="shared" ref="C44:N44" si="13">SUM(C43)</f>
        <v>8500000000</v>
      </c>
      <c r="D44" s="33"/>
      <c r="E44" s="33"/>
      <c r="F44" s="33"/>
      <c r="G44" s="33"/>
      <c r="H44" s="33">
        <f t="shared" si="13"/>
        <v>0</v>
      </c>
      <c r="I44" s="33">
        <f>SUM(I43)</f>
        <v>13864856000</v>
      </c>
      <c r="J44" s="33">
        <f>SUM(J43)</f>
        <v>13864856000</v>
      </c>
      <c r="K44" s="33">
        <f t="shared" si="13"/>
        <v>0</v>
      </c>
      <c r="L44" s="33">
        <f t="shared" si="13"/>
        <v>0</v>
      </c>
      <c r="M44" s="33">
        <f>SUM(M43)</f>
        <v>0</v>
      </c>
      <c r="N44" s="33">
        <f t="shared" si="13"/>
        <v>0</v>
      </c>
      <c r="O44" s="33">
        <f>SUM(O43)</f>
        <v>1317161320</v>
      </c>
      <c r="P44" s="33">
        <f>SUM(P43)</f>
        <v>1317161320</v>
      </c>
    </row>
    <row r="45" spans="1:16" s="13" customFormat="1" ht="56.25" x14ac:dyDescent="0.2">
      <c r="A45" s="40" t="s">
        <v>691</v>
      </c>
      <c r="B45" s="33">
        <v>15000000000</v>
      </c>
      <c r="C45" s="33">
        <v>15000000000</v>
      </c>
      <c r="D45" s="136">
        <v>10</v>
      </c>
      <c r="E45" s="136">
        <v>0</v>
      </c>
      <c r="F45" s="40" t="s">
        <v>121</v>
      </c>
      <c r="G45" s="28">
        <v>9.5</v>
      </c>
      <c r="H45" s="31"/>
      <c r="I45" s="33">
        <v>0</v>
      </c>
      <c r="J45" s="33">
        <v>15000000000</v>
      </c>
      <c r="K45" s="33"/>
      <c r="L45" s="33">
        <v>0</v>
      </c>
      <c r="M45" s="33">
        <v>1500000000</v>
      </c>
      <c r="N45" s="33">
        <v>0</v>
      </c>
      <c r="O45" s="33">
        <v>0</v>
      </c>
      <c r="P45" s="4">
        <f>J45*9.5%</f>
        <v>1425000000</v>
      </c>
    </row>
    <row r="46" spans="1:16" s="149" customFormat="1" ht="18.75" x14ac:dyDescent="0.2">
      <c r="A46" s="147" t="s">
        <v>629</v>
      </c>
      <c r="B46" s="33">
        <f>SUM(B45)</f>
        <v>15000000000</v>
      </c>
      <c r="C46" s="33">
        <f>SUM(C45)</f>
        <v>15000000000</v>
      </c>
      <c r="D46" s="33"/>
      <c r="E46" s="33"/>
      <c r="F46" s="33"/>
      <c r="G46" s="33"/>
      <c r="H46" s="33"/>
      <c r="I46" s="33">
        <f>I45</f>
        <v>0</v>
      </c>
      <c r="J46" s="33">
        <f>J45</f>
        <v>15000000000</v>
      </c>
      <c r="K46" s="33"/>
      <c r="L46" s="33">
        <f>L45</f>
        <v>0</v>
      </c>
      <c r="M46" s="33">
        <f>M45</f>
        <v>1500000000</v>
      </c>
      <c r="N46" s="33">
        <f>N45</f>
        <v>0</v>
      </c>
      <c r="O46" s="33">
        <f>O45</f>
        <v>0</v>
      </c>
      <c r="P46" s="33">
        <f>P45</f>
        <v>1425000000</v>
      </c>
    </row>
    <row r="47" spans="1:16" s="13" customFormat="1" ht="37.5" x14ac:dyDescent="0.2">
      <c r="A47" s="40" t="s">
        <v>692</v>
      </c>
      <c r="B47" s="33">
        <v>16500000000</v>
      </c>
      <c r="C47" s="33">
        <v>16500000000</v>
      </c>
      <c r="D47" s="33">
        <v>10</v>
      </c>
      <c r="E47" s="33">
        <v>0</v>
      </c>
      <c r="F47" s="33"/>
      <c r="G47" s="33"/>
      <c r="H47" s="33"/>
      <c r="I47" s="33">
        <v>0</v>
      </c>
      <c r="J47" s="33">
        <v>0</v>
      </c>
      <c r="K47" s="33"/>
      <c r="L47" s="33">
        <v>0</v>
      </c>
      <c r="M47" s="33">
        <v>0</v>
      </c>
      <c r="N47" s="33"/>
      <c r="O47" s="33">
        <v>0</v>
      </c>
      <c r="P47" s="33"/>
    </row>
    <row r="48" spans="1:16" s="149" customFormat="1" ht="18.75" x14ac:dyDescent="0.2">
      <c r="A48" s="147" t="s">
        <v>693</v>
      </c>
      <c r="B48" s="33">
        <f>B47</f>
        <v>16500000000</v>
      </c>
      <c r="C48" s="33">
        <f>C47</f>
        <v>16500000000</v>
      </c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</row>
    <row r="49" spans="1:16" s="13" customFormat="1" ht="18.75" x14ac:dyDescent="0.2">
      <c r="A49" s="38" t="s">
        <v>122</v>
      </c>
      <c r="B49" s="33">
        <f>B8+B11+B15+B18+B21+B24+B27+B29+B31+B33+B35+B37+B40+B42+B44</f>
        <v>235372839325</v>
      </c>
      <c r="C49" s="33">
        <f>C8+C11+C15+C18+C21+C24+C27+C29+C31+C33+C35+C37+C40+C42+C44</f>
        <v>227277100000</v>
      </c>
      <c r="D49" s="33"/>
      <c r="E49" s="33"/>
      <c r="F49" s="33"/>
      <c r="G49" s="33"/>
      <c r="H49" s="33">
        <f t="shared" ref="H49:N49" si="14">H8+H11+H15+H18+H21+H24+H27+H29+H31+H33+H35+H37+H40+H42+H44</f>
        <v>190853130000</v>
      </c>
      <c r="I49" s="33">
        <f>I48+I46+I44+I42+I40+I37+I35+I33+I31+I29+I27+I24+I21+I18+I15+I11+I8</f>
        <v>197168251000</v>
      </c>
      <c r="J49" s="33">
        <f>J48+J46+J44+J42+J40+J37+J35+J33+J31+J29+J27+J24+J21+J18+J15+J11+J8</f>
        <v>204222051000</v>
      </c>
      <c r="K49" s="33">
        <f t="shared" si="14"/>
        <v>7549735000</v>
      </c>
      <c r="L49" s="33">
        <f>L48+L46+L44+L42+L40+L37+L35+L33+L31+L29+L27+L24+L21+L18+L15+L11+L8</f>
        <v>7946200000</v>
      </c>
      <c r="M49" s="33">
        <f>M48+M46+M44+M42+M40+M37+M35+M33+M31+M29+M27+M24+M21+M18+M15+M11+M8</f>
        <v>10371985000</v>
      </c>
      <c r="N49" s="33">
        <f t="shared" si="14"/>
        <v>18490887000</v>
      </c>
      <c r="O49" s="33">
        <f>O48+O46+O44+O42+O40+O37+O35+O33+O31+O29+O27+O24+O21+O18+O15+O11+O8</f>
        <v>19064438495</v>
      </c>
      <c r="P49" s="33">
        <f>P48+P46+P44+P42+P40+P37+P35+P33+P31+P29+P27+P24+P21+P18+P15+P11+P8</f>
        <v>19708164495</v>
      </c>
    </row>
  </sheetData>
  <mergeCells count="11">
    <mergeCell ref="H2:J2"/>
    <mergeCell ref="K2:M2"/>
    <mergeCell ref="N2:P2"/>
    <mergeCell ref="A1:P1"/>
    <mergeCell ref="E2:E3"/>
    <mergeCell ref="A2:A3"/>
    <mergeCell ref="B2:B3"/>
    <mergeCell ref="G2:G3"/>
    <mergeCell ref="F2:F3"/>
    <mergeCell ref="C2:C3"/>
    <mergeCell ref="D2:D3"/>
  </mergeCells>
  <phoneticPr fontId="0" type="noConversion"/>
  <printOptions horizontalCentered="1"/>
  <pageMargins left="0.43307086614173201" right="0" top="0.31" bottom="0.3" header="0" footer="0.16"/>
  <pageSetup scale="77" firstPageNumber="8" pageOrder="overThenDown" orientation="landscape" useFirstPageNumber="1" r:id="rId1"/>
  <headerFooter alignWithMargins="0">
    <oddHeader xml:space="preserve">&amp;R
</oddHeader>
    <oddFooter>&amp;C&amp;P</oddFooter>
  </headerFooter>
  <rowBreaks count="1" manualBreakCount="1">
    <brk id="2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1711" enableFormatConditionsCalculation="0">
    <tabColor rgb="FF00B050"/>
  </sheetPr>
  <dimension ref="A1:IX1307"/>
  <sheetViews>
    <sheetView view="pageBreakPreview" zoomScale="75" zoomScaleSheetLayoutView="75" workbookViewId="0">
      <pane ySplit="4" topLeftCell="A44" activePane="bottomLeft" state="frozen"/>
      <selection activeCell="C13" sqref="C13"/>
      <selection pane="bottomLeft" activeCell="AE7" sqref="AE7"/>
    </sheetView>
  </sheetViews>
  <sheetFormatPr defaultRowHeight="12.75" x14ac:dyDescent="0.2"/>
  <cols>
    <col min="1" max="1" width="8" style="2" customWidth="1"/>
    <col min="2" max="2" width="14.28515625" style="2" bestFit="1" customWidth="1"/>
    <col min="3" max="3" width="18.28515625" style="2" customWidth="1"/>
    <col min="4" max="4" width="18.5703125" style="2" bestFit="1" customWidth="1"/>
    <col min="5" max="5" width="8" style="2" hidden="1" customWidth="1"/>
    <col min="6" max="6" width="14.42578125" style="2" hidden="1" customWidth="1"/>
    <col min="7" max="7" width="44.7109375" style="2" hidden="1" customWidth="1"/>
    <col min="8" max="8" width="6.7109375" style="2" customWidth="1"/>
    <col min="9" max="10" width="12.7109375" style="2" hidden="1" customWidth="1"/>
    <col min="11" max="11" width="13.85546875" style="2" hidden="1" customWidth="1"/>
    <col min="12" max="12" width="13.7109375" style="2" hidden="1" customWidth="1"/>
    <col min="13" max="13" width="14.28515625" style="2" hidden="1" customWidth="1"/>
    <col min="14" max="14" width="15.7109375" style="2" customWidth="1"/>
    <col min="15" max="15" width="7.28515625" style="2" hidden="1" customWidth="1"/>
    <col min="16" max="16" width="9.7109375" style="2" hidden="1" customWidth="1"/>
    <col min="17" max="17" width="10.28515625" style="2" hidden="1" customWidth="1"/>
    <col min="18" max="18" width="11.85546875" style="2" hidden="1" customWidth="1"/>
    <col min="19" max="19" width="14" style="148" customWidth="1"/>
    <col min="20" max="20" width="0.140625" style="2" hidden="1" customWidth="1"/>
    <col min="21" max="21" width="13.42578125" style="2" customWidth="1"/>
    <col min="22" max="22" width="0.140625" style="66" hidden="1" customWidth="1"/>
    <col min="23" max="23" width="11.7109375" style="66" hidden="1" customWidth="1"/>
    <col min="24" max="25" width="13.28515625" style="66" hidden="1" customWidth="1"/>
    <col min="26" max="26" width="13.28515625" style="154" customWidth="1"/>
    <col min="27" max="27" width="17.28515625" style="2" hidden="1" customWidth="1"/>
    <col min="28" max="28" width="15.7109375" style="2" customWidth="1"/>
    <col min="29" max="29" width="12.7109375" style="2" bestFit="1" customWidth="1"/>
    <col min="30" max="30" width="10.140625" style="2" bestFit="1" customWidth="1"/>
    <col min="31" max="31" width="11.140625" style="2" bestFit="1" customWidth="1"/>
    <col min="32" max="16384" width="9.140625" style="2"/>
  </cols>
  <sheetData>
    <row r="1" spans="1:61" ht="39.75" customHeight="1" x14ac:dyDescent="0.2">
      <c r="A1" s="190" t="s">
        <v>179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</row>
    <row r="2" spans="1:61" ht="23.25" customHeight="1" x14ac:dyDescent="0.2">
      <c r="A2" s="176" t="s">
        <v>217</v>
      </c>
      <c r="B2" s="176" t="s">
        <v>54</v>
      </c>
      <c r="C2" s="180" t="s">
        <v>97</v>
      </c>
      <c r="D2" s="180" t="s">
        <v>98</v>
      </c>
      <c r="E2" s="176" t="s">
        <v>100</v>
      </c>
      <c r="F2" s="176" t="s">
        <v>101</v>
      </c>
      <c r="G2" s="176" t="s">
        <v>102</v>
      </c>
      <c r="H2" s="176" t="s">
        <v>103</v>
      </c>
      <c r="I2" s="176" t="s">
        <v>60</v>
      </c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62"/>
      <c r="U2" s="176" t="s">
        <v>61</v>
      </c>
      <c r="V2" s="176"/>
      <c r="W2" s="176"/>
      <c r="X2" s="176"/>
      <c r="Y2" s="176"/>
      <c r="Z2" s="176"/>
      <c r="AA2" s="175" t="s">
        <v>62</v>
      </c>
      <c r="AB2" s="175"/>
      <c r="AC2" s="175"/>
    </row>
    <row r="3" spans="1:61" ht="27.75" customHeight="1" x14ac:dyDescent="0.2">
      <c r="A3" s="176"/>
      <c r="B3" s="176"/>
      <c r="C3" s="180"/>
      <c r="D3" s="180"/>
      <c r="E3" s="176"/>
      <c r="F3" s="176"/>
      <c r="G3" s="176"/>
      <c r="H3" s="176"/>
      <c r="I3" s="161" t="s">
        <v>190</v>
      </c>
      <c r="J3" s="137" t="s">
        <v>222</v>
      </c>
      <c r="K3" s="137" t="s">
        <v>275</v>
      </c>
      <c r="L3" s="137" t="s">
        <v>366</v>
      </c>
      <c r="M3" s="137" t="s">
        <v>494</v>
      </c>
      <c r="N3" s="137" t="s">
        <v>596</v>
      </c>
      <c r="O3" s="1" t="s">
        <v>0</v>
      </c>
      <c r="P3" s="161" t="s">
        <v>191</v>
      </c>
      <c r="Q3" s="161" t="s">
        <v>276</v>
      </c>
      <c r="R3" s="161" t="s">
        <v>367</v>
      </c>
      <c r="S3" s="161" t="s">
        <v>690</v>
      </c>
      <c r="T3" s="161" t="s">
        <v>536</v>
      </c>
      <c r="U3" s="161" t="s">
        <v>597</v>
      </c>
      <c r="V3" s="159" t="s">
        <v>0</v>
      </c>
      <c r="W3" s="115" t="s">
        <v>191</v>
      </c>
      <c r="X3" s="1" t="s">
        <v>276</v>
      </c>
      <c r="Y3" s="1" t="s">
        <v>367</v>
      </c>
      <c r="Z3" s="1" t="s">
        <v>689</v>
      </c>
      <c r="AA3" s="1" t="s">
        <v>536</v>
      </c>
      <c r="AB3" s="1" t="s">
        <v>597</v>
      </c>
      <c r="AC3" s="1" t="s">
        <v>689</v>
      </c>
    </row>
    <row r="4" spans="1:61" s="21" customFormat="1" x14ac:dyDescent="0.2">
      <c r="A4" s="1">
        <v>1</v>
      </c>
      <c r="B4" s="3">
        <v>2</v>
      </c>
      <c r="C4" s="3">
        <v>3</v>
      </c>
      <c r="D4" s="3">
        <v>4</v>
      </c>
      <c r="E4" s="79">
        <v>5</v>
      </c>
      <c r="F4" s="79">
        <v>6</v>
      </c>
      <c r="G4" s="79">
        <v>7</v>
      </c>
      <c r="H4" s="3">
        <v>5</v>
      </c>
      <c r="I4" s="161">
        <v>6</v>
      </c>
      <c r="J4" s="1">
        <v>6</v>
      </c>
      <c r="K4" s="1">
        <v>6</v>
      </c>
      <c r="L4" s="1">
        <v>6</v>
      </c>
      <c r="M4" s="1">
        <v>6</v>
      </c>
      <c r="N4" s="1">
        <v>7</v>
      </c>
      <c r="O4" s="1"/>
      <c r="P4" s="1"/>
      <c r="Q4" s="1">
        <v>8</v>
      </c>
      <c r="R4" s="1">
        <v>8</v>
      </c>
      <c r="S4" s="1"/>
      <c r="T4" s="1">
        <v>8</v>
      </c>
      <c r="U4" s="1">
        <v>9</v>
      </c>
      <c r="V4" s="159">
        <v>13</v>
      </c>
      <c r="W4" s="159">
        <v>10</v>
      </c>
      <c r="X4" s="1">
        <v>10</v>
      </c>
      <c r="Y4" s="1">
        <v>10</v>
      </c>
      <c r="Z4" s="1"/>
      <c r="AA4" s="1">
        <v>10</v>
      </c>
      <c r="AB4" s="1">
        <v>11</v>
      </c>
      <c r="AC4" s="76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</row>
    <row r="5" spans="1:61" ht="27.6" customHeight="1" x14ac:dyDescent="0.2">
      <c r="A5" s="9">
        <v>1</v>
      </c>
      <c r="B5" s="58" t="s">
        <v>236</v>
      </c>
      <c r="C5" s="9" t="s">
        <v>183</v>
      </c>
      <c r="D5" s="59">
        <v>18200000</v>
      </c>
      <c r="E5" s="9">
        <v>7</v>
      </c>
      <c r="F5" s="9">
        <v>2</v>
      </c>
      <c r="G5" s="62" t="s">
        <v>178</v>
      </c>
      <c r="H5" s="54">
        <v>7</v>
      </c>
      <c r="I5" s="9">
        <v>0</v>
      </c>
      <c r="J5" s="9">
        <v>18200000</v>
      </c>
      <c r="K5" s="34">
        <v>18200000</v>
      </c>
      <c r="L5" s="8">
        <f t="shared" ref="L5:L8" si="0">K5-Q5</f>
        <v>14560000</v>
      </c>
      <c r="M5" s="8">
        <v>7280000</v>
      </c>
      <c r="N5" s="8">
        <f>M5-U5</f>
        <v>3640000</v>
      </c>
      <c r="O5" s="8">
        <v>0</v>
      </c>
      <c r="P5" s="8">
        <v>0</v>
      </c>
      <c r="Q5" s="8">
        <v>3640000</v>
      </c>
      <c r="R5" s="8">
        <v>3640000</v>
      </c>
      <c r="S5" s="8">
        <f t="shared" ref="S5:S25" si="1">N5-U5</f>
        <v>0</v>
      </c>
      <c r="T5" s="8">
        <f t="shared" ref="T5:T8" si="2">R5</f>
        <v>3640000</v>
      </c>
      <c r="U5" s="8">
        <f t="shared" ref="U5:U8" si="3">T5</f>
        <v>3640000</v>
      </c>
      <c r="V5" s="90">
        <f>D5*H5%/365*112+D5*H5%/366*91</f>
        <v>707685.59023879049</v>
      </c>
      <c r="W5" s="90">
        <f t="shared" ref="W5" si="4">D5*H5%/366*275+D5*H5%/365*90</f>
        <v>1271377.42345984</v>
      </c>
      <c r="X5" s="90">
        <v>1146949</v>
      </c>
      <c r="Y5" s="4">
        <v>893723</v>
      </c>
      <c r="Z5" s="4">
        <v>0</v>
      </c>
      <c r="AA5" s="4">
        <f t="shared" ref="AA5:AA8" si="5">M5*7/100</f>
        <v>509600</v>
      </c>
      <c r="AB5" s="8">
        <f t="shared" ref="AB5:AB8" si="6">T5*7/100</f>
        <v>254800</v>
      </c>
      <c r="AC5" s="4">
        <f>S5*H5%</f>
        <v>0</v>
      </c>
    </row>
    <row r="6" spans="1:61" ht="27.6" customHeight="1" x14ac:dyDescent="0.2">
      <c r="A6" s="9">
        <v>2</v>
      </c>
      <c r="B6" s="58" t="s">
        <v>237</v>
      </c>
      <c r="C6" s="9" t="s">
        <v>183</v>
      </c>
      <c r="D6" s="59">
        <v>2400000</v>
      </c>
      <c r="E6" s="9">
        <v>7</v>
      </c>
      <c r="F6" s="9">
        <v>2</v>
      </c>
      <c r="G6" s="62" t="s">
        <v>178</v>
      </c>
      <c r="H6" s="54">
        <v>7</v>
      </c>
      <c r="I6" s="9">
        <v>0</v>
      </c>
      <c r="J6" s="9">
        <v>2400000</v>
      </c>
      <c r="K6" s="34">
        <v>2400000</v>
      </c>
      <c r="L6" s="8">
        <f t="shared" si="0"/>
        <v>1920000</v>
      </c>
      <c r="M6" s="8">
        <v>960000</v>
      </c>
      <c r="N6" s="8">
        <f>M6-U6</f>
        <v>480000</v>
      </c>
      <c r="O6" s="8">
        <v>0</v>
      </c>
      <c r="P6" s="8">
        <v>0</v>
      </c>
      <c r="Q6" s="8">
        <v>480000</v>
      </c>
      <c r="R6" s="8">
        <v>480000</v>
      </c>
      <c r="S6" s="8">
        <f t="shared" si="1"/>
        <v>0</v>
      </c>
      <c r="T6" s="8">
        <f t="shared" si="2"/>
        <v>480000</v>
      </c>
      <c r="U6" s="8">
        <f t="shared" si="3"/>
        <v>480000</v>
      </c>
      <c r="V6" s="90">
        <v>1836</v>
      </c>
      <c r="W6" s="90">
        <v>167654</v>
      </c>
      <c r="X6" s="90">
        <v>168000</v>
      </c>
      <c r="Y6" s="4">
        <v>134677</v>
      </c>
      <c r="Z6" s="4">
        <v>0</v>
      </c>
      <c r="AA6" s="4">
        <f t="shared" si="5"/>
        <v>67200</v>
      </c>
      <c r="AB6" s="8">
        <f t="shared" si="6"/>
        <v>33600</v>
      </c>
      <c r="AC6" s="4">
        <f t="shared" ref="AC6:AC8" si="7">S6*H6%</f>
        <v>0</v>
      </c>
    </row>
    <row r="7" spans="1:61" ht="27.6" customHeight="1" x14ac:dyDescent="0.2">
      <c r="A7" s="9">
        <v>3</v>
      </c>
      <c r="B7" s="58" t="s">
        <v>237</v>
      </c>
      <c r="C7" s="9" t="s">
        <v>183</v>
      </c>
      <c r="D7" s="59">
        <v>7600000</v>
      </c>
      <c r="E7" s="9">
        <v>7</v>
      </c>
      <c r="F7" s="9">
        <v>2</v>
      </c>
      <c r="G7" s="62" t="s">
        <v>178</v>
      </c>
      <c r="H7" s="54">
        <v>7</v>
      </c>
      <c r="I7" s="9">
        <v>0</v>
      </c>
      <c r="J7" s="9">
        <v>7600000</v>
      </c>
      <c r="K7" s="34">
        <f>J7-P7</f>
        <v>7600000</v>
      </c>
      <c r="L7" s="8">
        <f t="shared" si="0"/>
        <v>6080000</v>
      </c>
      <c r="M7" s="8">
        <v>3040000</v>
      </c>
      <c r="N7" s="8">
        <f>M7-U7</f>
        <v>1520000</v>
      </c>
      <c r="O7" s="8">
        <v>0</v>
      </c>
      <c r="P7" s="8">
        <v>0</v>
      </c>
      <c r="Q7" s="8">
        <v>1520000</v>
      </c>
      <c r="R7" s="8">
        <v>1520000</v>
      </c>
      <c r="S7" s="8">
        <f t="shared" si="1"/>
        <v>0</v>
      </c>
      <c r="T7" s="8">
        <f t="shared" si="2"/>
        <v>1520000</v>
      </c>
      <c r="U7" s="8">
        <f t="shared" si="3"/>
        <v>1520000</v>
      </c>
      <c r="V7" s="90">
        <v>5814</v>
      </c>
      <c r="W7" s="90">
        <v>530905</v>
      </c>
      <c r="X7" s="90">
        <v>532000</v>
      </c>
      <c r="Y7" s="4">
        <v>426476</v>
      </c>
      <c r="Z7" s="4">
        <v>0</v>
      </c>
      <c r="AA7" s="4">
        <f t="shared" si="5"/>
        <v>212800</v>
      </c>
      <c r="AB7" s="8">
        <f t="shared" si="6"/>
        <v>106400</v>
      </c>
      <c r="AC7" s="4">
        <f t="shared" si="7"/>
        <v>0</v>
      </c>
    </row>
    <row r="8" spans="1:61" s="37" customFormat="1" ht="27.6" customHeight="1" x14ac:dyDescent="0.2">
      <c r="A8" s="9">
        <v>4</v>
      </c>
      <c r="B8" s="58" t="s">
        <v>237</v>
      </c>
      <c r="C8" s="9" t="s">
        <v>183</v>
      </c>
      <c r="D8" s="59">
        <v>18900000</v>
      </c>
      <c r="E8" s="9">
        <v>7</v>
      </c>
      <c r="F8" s="9">
        <v>2</v>
      </c>
      <c r="G8" s="62" t="s">
        <v>178</v>
      </c>
      <c r="H8" s="54">
        <v>7</v>
      </c>
      <c r="I8" s="9">
        <v>0</v>
      </c>
      <c r="J8" s="9">
        <v>18900000</v>
      </c>
      <c r="K8" s="34">
        <f>J8-P8</f>
        <v>18900000</v>
      </c>
      <c r="L8" s="8">
        <f t="shared" si="0"/>
        <v>15120000</v>
      </c>
      <c r="M8" s="8">
        <v>7560000</v>
      </c>
      <c r="N8" s="8">
        <f>M8-U8</f>
        <v>3780000</v>
      </c>
      <c r="O8" s="8">
        <v>0</v>
      </c>
      <c r="P8" s="8">
        <v>0</v>
      </c>
      <c r="Q8" s="8">
        <v>3780000</v>
      </c>
      <c r="R8" s="8">
        <v>3780000</v>
      </c>
      <c r="S8" s="8">
        <f t="shared" si="1"/>
        <v>0</v>
      </c>
      <c r="T8" s="8">
        <f t="shared" si="2"/>
        <v>3780000</v>
      </c>
      <c r="U8" s="8">
        <f t="shared" si="3"/>
        <v>3780000</v>
      </c>
      <c r="V8" s="90">
        <v>14459</v>
      </c>
      <c r="W8" s="90">
        <v>1320277</v>
      </c>
      <c r="X8" s="90">
        <v>1323000</v>
      </c>
      <c r="Y8" s="4">
        <v>1060579</v>
      </c>
      <c r="Z8" s="4">
        <v>0</v>
      </c>
      <c r="AA8" s="4">
        <f t="shared" si="5"/>
        <v>529200</v>
      </c>
      <c r="AB8" s="8">
        <f t="shared" si="6"/>
        <v>264600</v>
      </c>
      <c r="AC8" s="4">
        <f t="shared" si="7"/>
        <v>0</v>
      </c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</row>
    <row r="9" spans="1:61" s="104" customFormat="1" ht="36" customHeight="1" x14ac:dyDescent="0.2">
      <c r="A9" s="103"/>
      <c r="B9" s="113"/>
      <c r="C9" s="105" t="s">
        <v>123</v>
      </c>
      <c r="D9" s="106">
        <f>SUM(D5:D8)</f>
        <v>47100000</v>
      </c>
      <c r="E9" s="106">
        <f>SUM(E5:E8)</f>
        <v>28</v>
      </c>
      <c r="F9" s="106">
        <f>SUM(F5:F8)</f>
        <v>8</v>
      </c>
      <c r="G9" s="106">
        <f>SUM(G5:G8)</f>
        <v>0</v>
      </c>
      <c r="H9" s="106"/>
      <c r="I9" s="106">
        <f t="shared" ref="I9:AC9" si="8">SUM(I5:I8)</f>
        <v>0</v>
      </c>
      <c r="J9" s="106">
        <f t="shared" si="8"/>
        <v>47100000</v>
      </c>
      <c r="K9" s="106">
        <f t="shared" si="8"/>
        <v>47100000</v>
      </c>
      <c r="L9" s="106">
        <f t="shared" si="8"/>
        <v>37680000</v>
      </c>
      <c r="M9" s="106">
        <f t="shared" si="8"/>
        <v>18840000</v>
      </c>
      <c r="N9" s="106">
        <f t="shared" si="8"/>
        <v>9420000</v>
      </c>
      <c r="O9" s="106">
        <f t="shared" si="8"/>
        <v>0</v>
      </c>
      <c r="P9" s="106">
        <f t="shared" si="8"/>
        <v>0</v>
      </c>
      <c r="Q9" s="106">
        <f t="shared" si="8"/>
        <v>9420000</v>
      </c>
      <c r="R9" s="106">
        <f t="shared" si="8"/>
        <v>9420000</v>
      </c>
      <c r="S9" s="106">
        <f t="shared" si="8"/>
        <v>0</v>
      </c>
      <c r="T9" s="106">
        <f t="shared" si="8"/>
        <v>9420000</v>
      </c>
      <c r="U9" s="106">
        <f t="shared" si="8"/>
        <v>9420000</v>
      </c>
      <c r="V9" s="106">
        <f t="shared" si="8"/>
        <v>729794.59023879049</v>
      </c>
      <c r="W9" s="106">
        <f t="shared" si="8"/>
        <v>3290213.42345984</v>
      </c>
      <c r="X9" s="106">
        <f t="shared" si="8"/>
        <v>3169949</v>
      </c>
      <c r="Y9" s="106">
        <f t="shared" si="8"/>
        <v>2515455</v>
      </c>
      <c r="Z9" s="106">
        <f t="shared" si="8"/>
        <v>0</v>
      </c>
      <c r="AA9" s="106">
        <f t="shared" si="8"/>
        <v>1318800</v>
      </c>
      <c r="AB9" s="106">
        <f t="shared" si="8"/>
        <v>659400</v>
      </c>
      <c r="AC9" s="106">
        <f t="shared" si="8"/>
        <v>0</v>
      </c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</row>
    <row r="10" spans="1:61" ht="27.6" customHeight="1" x14ac:dyDescent="0.2">
      <c r="A10" s="9">
        <v>5</v>
      </c>
      <c r="B10" s="58" t="s">
        <v>238</v>
      </c>
      <c r="C10" s="9" t="s">
        <v>184</v>
      </c>
      <c r="D10" s="59">
        <v>27400000</v>
      </c>
      <c r="E10" s="9">
        <v>7</v>
      </c>
      <c r="F10" s="9">
        <v>2</v>
      </c>
      <c r="G10" s="62" t="s">
        <v>178</v>
      </c>
      <c r="H10" s="54">
        <v>6.5</v>
      </c>
      <c r="I10" s="34">
        <v>0</v>
      </c>
      <c r="J10" s="34">
        <f>D10</f>
        <v>27400000</v>
      </c>
      <c r="K10" s="34">
        <v>27400000</v>
      </c>
      <c r="L10" s="8">
        <f t="shared" ref="L10:L21" si="9">K10-Q10</f>
        <v>21920000</v>
      </c>
      <c r="M10" s="8">
        <v>10960000</v>
      </c>
      <c r="N10" s="8">
        <f t="shared" ref="N10:N21" si="10">M10-U10</f>
        <v>5480000</v>
      </c>
      <c r="O10" s="8">
        <v>0</v>
      </c>
      <c r="P10" s="8">
        <v>0</v>
      </c>
      <c r="Q10" s="8">
        <v>5480000</v>
      </c>
      <c r="R10" s="8">
        <v>5480000</v>
      </c>
      <c r="S10" s="8">
        <f t="shared" si="1"/>
        <v>0</v>
      </c>
      <c r="T10" s="8">
        <f t="shared" ref="T10:T21" si="11">R10</f>
        <v>5480000</v>
      </c>
      <c r="U10" s="8">
        <f t="shared" ref="U10:U21" si="12">T10</f>
        <v>5480000</v>
      </c>
      <c r="V10" s="90">
        <v>1160096</v>
      </c>
      <c r="W10" s="90">
        <f t="shared" ref="W10:W11" si="13">D10*H10%/366*275+D10*H10%/365*90</f>
        <v>1777333.7450407967</v>
      </c>
      <c r="X10" s="4">
        <v>1574111</v>
      </c>
      <c r="Y10" s="4">
        <v>1220111</v>
      </c>
      <c r="Z10" s="4">
        <v>0</v>
      </c>
      <c r="AA10" s="4">
        <f t="shared" ref="AA10:AA21" si="14">M10*6.5/100</f>
        <v>712400</v>
      </c>
      <c r="AB10" s="8">
        <f t="shared" ref="AB10:AB21" si="15">N10*6.5/100</f>
        <v>356200</v>
      </c>
      <c r="AC10" s="4">
        <f t="shared" ref="AC10:AC21" si="16">S10*H10%</f>
        <v>0</v>
      </c>
    </row>
    <row r="11" spans="1:61" ht="27.6" customHeight="1" x14ac:dyDescent="0.2">
      <c r="A11" s="9">
        <v>6</v>
      </c>
      <c r="B11" s="58" t="s">
        <v>236</v>
      </c>
      <c r="C11" s="9" t="s">
        <v>184</v>
      </c>
      <c r="D11" s="59">
        <v>20700000</v>
      </c>
      <c r="E11" s="9">
        <v>7</v>
      </c>
      <c r="F11" s="9">
        <v>2</v>
      </c>
      <c r="G11" s="62" t="s">
        <v>178</v>
      </c>
      <c r="H11" s="54">
        <v>6.5</v>
      </c>
      <c r="I11" s="34">
        <v>0</v>
      </c>
      <c r="J11" s="34">
        <f>D11</f>
        <v>20700000</v>
      </c>
      <c r="K11" s="34">
        <v>20700000</v>
      </c>
      <c r="L11" s="8">
        <f t="shared" si="9"/>
        <v>16560000</v>
      </c>
      <c r="M11" s="8">
        <v>8280000</v>
      </c>
      <c r="N11" s="8">
        <f t="shared" si="10"/>
        <v>4140000</v>
      </c>
      <c r="O11" s="8">
        <v>0</v>
      </c>
      <c r="P11" s="8">
        <v>0</v>
      </c>
      <c r="Q11" s="8">
        <v>4140000</v>
      </c>
      <c r="R11" s="8">
        <v>4140000</v>
      </c>
      <c r="S11" s="8">
        <f t="shared" si="1"/>
        <v>0</v>
      </c>
      <c r="T11" s="8">
        <f t="shared" si="11"/>
        <v>4140000</v>
      </c>
      <c r="U11" s="8">
        <f t="shared" si="12"/>
        <v>4140000</v>
      </c>
      <c r="V11" s="90">
        <v>747403</v>
      </c>
      <c r="W11" s="90">
        <f t="shared" si="13"/>
        <v>1342730.2380417697</v>
      </c>
      <c r="X11" s="4">
        <v>1211319</v>
      </c>
      <c r="Y11" s="4">
        <v>943880</v>
      </c>
      <c r="Z11" s="4">
        <v>0</v>
      </c>
      <c r="AA11" s="4">
        <f t="shared" si="14"/>
        <v>538200</v>
      </c>
      <c r="AB11" s="8">
        <f t="shared" si="15"/>
        <v>269100</v>
      </c>
      <c r="AC11" s="4">
        <f t="shared" si="16"/>
        <v>0</v>
      </c>
    </row>
    <row r="12" spans="1:61" ht="27.6" customHeight="1" x14ac:dyDescent="0.2">
      <c r="A12" s="9">
        <v>7</v>
      </c>
      <c r="B12" s="58" t="s">
        <v>239</v>
      </c>
      <c r="C12" s="9" t="s">
        <v>184</v>
      </c>
      <c r="D12" s="59">
        <v>28500000</v>
      </c>
      <c r="E12" s="9">
        <v>7</v>
      </c>
      <c r="F12" s="9">
        <v>2</v>
      </c>
      <c r="G12" s="62" t="s">
        <v>178</v>
      </c>
      <c r="H12" s="54">
        <v>6.5</v>
      </c>
      <c r="I12" s="34">
        <v>0</v>
      </c>
      <c r="J12" s="34">
        <v>28500000</v>
      </c>
      <c r="K12" s="34">
        <v>28500000</v>
      </c>
      <c r="L12" s="8">
        <f t="shared" si="9"/>
        <v>22800000</v>
      </c>
      <c r="M12" s="8">
        <v>11400000</v>
      </c>
      <c r="N12" s="8">
        <f t="shared" si="10"/>
        <v>5700000</v>
      </c>
      <c r="O12" s="8">
        <v>0</v>
      </c>
      <c r="P12" s="8">
        <v>0</v>
      </c>
      <c r="Q12" s="8">
        <v>5700000</v>
      </c>
      <c r="R12" s="8">
        <v>5700000</v>
      </c>
      <c r="S12" s="8">
        <f t="shared" si="1"/>
        <v>0</v>
      </c>
      <c r="T12" s="8">
        <f t="shared" si="11"/>
        <v>5700000</v>
      </c>
      <c r="U12" s="8">
        <f t="shared" si="12"/>
        <v>5700000</v>
      </c>
      <c r="V12" s="90">
        <v>876772</v>
      </c>
      <c r="W12" s="90">
        <v>1848687</v>
      </c>
      <c r="X12" s="4">
        <v>1699225</v>
      </c>
      <c r="Y12" s="4">
        <v>1331013</v>
      </c>
      <c r="Z12" s="4">
        <v>0</v>
      </c>
      <c r="AA12" s="4">
        <f t="shared" si="14"/>
        <v>741000</v>
      </c>
      <c r="AB12" s="8">
        <f t="shared" si="15"/>
        <v>370500</v>
      </c>
      <c r="AC12" s="4">
        <f t="shared" si="16"/>
        <v>0</v>
      </c>
    </row>
    <row r="13" spans="1:61" ht="27.6" customHeight="1" x14ac:dyDescent="0.2">
      <c r="A13" s="9">
        <v>8</v>
      </c>
      <c r="B13" s="58" t="s">
        <v>240</v>
      </c>
      <c r="C13" s="9" t="s">
        <v>184</v>
      </c>
      <c r="D13" s="59">
        <v>17200000</v>
      </c>
      <c r="E13" s="9">
        <v>7</v>
      </c>
      <c r="F13" s="9">
        <v>2</v>
      </c>
      <c r="G13" s="62" t="s">
        <v>178</v>
      </c>
      <c r="H13" s="54">
        <v>6.5</v>
      </c>
      <c r="I13" s="34">
        <v>0</v>
      </c>
      <c r="J13" s="34">
        <f>D13</f>
        <v>17200000</v>
      </c>
      <c r="K13" s="34">
        <v>17200000</v>
      </c>
      <c r="L13" s="8">
        <f t="shared" si="9"/>
        <v>13760000</v>
      </c>
      <c r="M13" s="8">
        <v>6880000</v>
      </c>
      <c r="N13" s="8">
        <f t="shared" si="10"/>
        <v>3440000</v>
      </c>
      <c r="O13" s="8">
        <v>0</v>
      </c>
      <c r="P13" s="8">
        <v>0</v>
      </c>
      <c r="Q13" s="8">
        <v>3440000</v>
      </c>
      <c r="R13" s="8">
        <v>3440000</v>
      </c>
      <c r="S13" s="8">
        <f t="shared" si="1"/>
        <v>0</v>
      </c>
      <c r="T13" s="8">
        <f t="shared" si="11"/>
        <v>3440000</v>
      </c>
      <c r="U13" s="8">
        <f t="shared" si="12"/>
        <v>3440000</v>
      </c>
      <c r="V13" s="90">
        <v>342296</v>
      </c>
      <c r="W13" s="90">
        <v>1115699</v>
      </c>
      <c r="X13" s="4">
        <v>1062866</v>
      </c>
      <c r="Y13" s="4">
        <v>840647</v>
      </c>
      <c r="Z13" s="4">
        <v>0</v>
      </c>
      <c r="AA13" s="4">
        <f t="shared" si="14"/>
        <v>447200</v>
      </c>
      <c r="AB13" s="8">
        <f t="shared" si="15"/>
        <v>223600</v>
      </c>
      <c r="AC13" s="4">
        <f t="shared" si="16"/>
        <v>0</v>
      </c>
    </row>
    <row r="14" spans="1:61" ht="27.6" customHeight="1" x14ac:dyDescent="0.2">
      <c r="A14" s="9">
        <v>9</v>
      </c>
      <c r="B14" s="58" t="s">
        <v>241</v>
      </c>
      <c r="C14" s="9" t="s">
        <v>184</v>
      </c>
      <c r="D14" s="59">
        <v>26200000</v>
      </c>
      <c r="E14" s="9">
        <v>7</v>
      </c>
      <c r="F14" s="9">
        <v>2</v>
      </c>
      <c r="G14" s="62" t="s">
        <v>178</v>
      </c>
      <c r="H14" s="54">
        <v>6.5</v>
      </c>
      <c r="I14" s="34">
        <v>0</v>
      </c>
      <c r="J14" s="34">
        <f>D14</f>
        <v>26200000</v>
      </c>
      <c r="K14" s="34">
        <v>26200000</v>
      </c>
      <c r="L14" s="8">
        <f t="shared" si="9"/>
        <v>20960000</v>
      </c>
      <c r="M14" s="8">
        <v>10480000</v>
      </c>
      <c r="N14" s="8">
        <f t="shared" si="10"/>
        <v>5240000</v>
      </c>
      <c r="O14" s="8">
        <v>0</v>
      </c>
      <c r="P14" s="8">
        <v>0</v>
      </c>
      <c r="Q14" s="8">
        <v>5240000</v>
      </c>
      <c r="R14" s="8">
        <v>5240000</v>
      </c>
      <c r="S14" s="8">
        <f t="shared" si="1"/>
        <v>0</v>
      </c>
      <c r="T14" s="8">
        <f t="shared" si="11"/>
        <v>5240000</v>
      </c>
      <c r="U14" s="8">
        <f t="shared" si="12"/>
        <v>5240000</v>
      </c>
      <c r="V14" s="90">
        <v>116325</v>
      </c>
      <c r="W14" s="90">
        <v>1699494</v>
      </c>
      <c r="X14" s="4">
        <v>1703000</v>
      </c>
      <c r="Y14" s="4">
        <v>1365205</v>
      </c>
      <c r="Z14" s="4">
        <v>0</v>
      </c>
      <c r="AA14" s="4">
        <f t="shared" si="14"/>
        <v>681200</v>
      </c>
      <c r="AB14" s="8">
        <f t="shared" si="15"/>
        <v>340600</v>
      </c>
      <c r="AC14" s="4">
        <f t="shared" si="16"/>
        <v>0</v>
      </c>
    </row>
    <row r="15" spans="1:61" ht="27.6" customHeight="1" x14ac:dyDescent="0.2">
      <c r="A15" s="9">
        <v>10</v>
      </c>
      <c r="B15" s="58" t="s">
        <v>237</v>
      </c>
      <c r="C15" s="9" t="s">
        <v>184</v>
      </c>
      <c r="D15" s="59">
        <v>15800000</v>
      </c>
      <c r="E15" s="9">
        <v>7</v>
      </c>
      <c r="F15" s="9">
        <v>2</v>
      </c>
      <c r="G15" s="62" t="s">
        <v>178</v>
      </c>
      <c r="H15" s="54">
        <v>6.5</v>
      </c>
      <c r="I15" s="34">
        <v>0</v>
      </c>
      <c r="J15" s="34">
        <f>D15</f>
        <v>15800000</v>
      </c>
      <c r="K15" s="34">
        <v>15800000</v>
      </c>
      <c r="L15" s="8">
        <f t="shared" si="9"/>
        <v>12640000</v>
      </c>
      <c r="M15" s="8">
        <v>6320000</v>
      </c>
      <c r="N15" s="8">
        <f t="shared" si="10"/>
        <v>3160000</v>
      </c>
      <c r="O15" s="8">
        <v>0</v>
      </c>
      <c r="P15" s="8">
        <v>0</v>
      </c>
      <c r="Q15" s="8">
        <v>3160000</v>
      </c>
      <c r="R15" s="8">
        <v>3160000</v>
      </c>
      <c r="S15" s="8">
        <f t="shared" si="1"/>
        <v>0</v>
      </c>
      <c r="T15" s="8">
        <f t="shared" si="11"/>
        <v>3160000</v>
      </c>
      <c r="U15" s="8">
        <f t="shared" si="12"/>
        <v>3160000</v>
      </c>
      <c r="V15" s="90">
        <v>11224</v>
      </c>
      <c r="W15" s="90">
        <v>1024886</v>
      </c>
      <c r="X15" s="4">
        <v>1027000</v>
      </c>
      <c r="Y15" s="4">
        <v>823291</v>
      </c>
      <c r="Z15" s="4">
        <v>0</v>
      </c>
      <c r="AA15" s="4">
        <f t="shared" si="14"/>
        <v>410800</v>
      </c>
      <c r="AB15" s="8">
        <f t="shared" si="15"/>
        <v>205400</v>
      </c>
      <c r="AC15" s="4">
        <f t="shared" si="16"/>
        <v>0</v>
      </c>
    </row>
    <row r="16" spans="1:61" s="37" customFormat="1" ht="27.6" customHeight="1" x14ac:dyDescent="0.2">
      <c r="A16" s="9">
        <v>11</v>
      </c>
      <c r="B16" s="58" t="s">
        <v>237</v>
      </c>
      <c r="C16" s="9" t="s">
        <v>184</v>
      </c>
      <c r="D16" s="59">
        <v>1600000</v>
      </c>
      <c r="E16" s="9">
        <v>7</v>
      </c>
      <c r="F16" s="9">
        <v>2</v>
      </c>
      <c r="G16" s="62" t="s">
        <v>178</v>
      </c>
      <c r="H16" s="54">
        <v>6.5</v>
      </c>
      <c r="I16" s="34">
        <v>0</v>
      </c>
      <c r="J16" s="34">
        <f>D16</f>
        <v>1600000</v>
      </c>
      <c r="K16" s="34">
        <v>1600000</v>
      </c>
      <c r="L16" s="8">
        <f t="shared" si="9"/>
        <v>1280000</v>
      </c>
      <c r="M16" s="8">
        <v>640000</v>
      </c>
      <c r="N16" s="8">
        <f t="shared" si="10"/>
        <v>320000</v>
      </c>
      <c r="O16" s="8">
        <v>0</v>
      </c>
      <c r="P16" s="8">
        <v>0</v>
      </c>
      <c r="Q16" s="8">
        <v>320000</v>
      </c>
      <c r="R16" s="8">
        <v>320000</v>
      </c>
      <c r="S16" s="8">
        <f t="shared" si="1"/>
        <v>0</v>
      </c>
      <c r="T16" s="8">
        <f t="shared" si="11"/>
        <v>320000</v>
      </c>
      <c r="U16" s="8">
        <f t="shared" si="12"/>
        <v>320000</v>
      </c>
      <c r="V16" s="90">
        <v>1137</v>
      </c>
      <c r="W16" s="90">
        <v>103786</v>
      </c>
      <c r="X16" s="4">
        <v>104000</v>
      </c>
      <c r="Y16" s="4">
        <v>83371</v>
      </c>
      <c r="Z16" s="4">
        <v>0</v>
      </c>
      <c r="AA16" s="4">
        <f t="shared" si="14"/>
        <v>41600</v>
      </c>
      <c r="AB16" s="8">
        <f t="shared" si="15"/>
        <v>20800</v>
      </c>
      <c r="AC16" s="4">
        <f t="shared" si="16"/>
        <v>0</v>
      </c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</row>
    <row r="17" spans="1:61" s="37" customFormat="1" ht="27.6" customHeight="1" x14ac:dyDescent="0.2">
      <c r="A17" s="9">
        <v>12</v>
      </c>
      <c r="B17" s="58" t="s">
        <v>233</v>
      </c>
      <c r="C17" s="9" t="s">
        <v>184</v>
      </c>
      <c r="D17" s="59">
        <v>21800000</v>
      </c>
      <c r="E17" s="9"/>
      <c r="F17" s="9"/>
      <c r="G17" s="62"/>
      <c r="H17" s="54">
        <v>6.5</v>
      </c>
      <c r="I17" s="34"/>
      <c r="J17" s="34"/>
      <c r="K17" s="34">
        <v>21800000</v>
      </c>
      <c r="L17" s="8">
        <f t="shared" si="9"/>
        <v>21800000</v>
      </c>
      <c r="M17" s="8">
        <v>13080000</v>
      </c>
      <c r="N17" s="8">
        <f t="shared" si="10"/>
        <v>8720000</v>
      </c>
      <c r="O17" s="8"/>
      <c r="P17" s="8">
        <v>0</v>
      </c>
      <c r="Q17" s="8">
        <v>0</v>
      </c>
      <c r="R17" s="8">
        <v>4360000</v>
      </c>
      <c r="S17" s="8">
        <f>N17-U17</f>
        <v>4360000</v>
      </c>
      <c r="T17" s="8">
        <f t="shared" si="11"/>
        <v>4360000</v>
      </c>
      <c r="U17" s="8">
        <f t="shared" si="12"/>
        <v>4360000</v>
      </c>
      <c r="V17" s="90"/>
      <c r="W17" s="90">
        <v>357140</v>
      </c>
      <c r="X17" s="4">
        <v>1417000</v>
      </c>
      <c r="Y17" s="4">
        <v>1349454</v>
      </c>
      <c r="Z17" s="8">
        <f>S17</f>
        <v>4360000</v>
      </c>
      <c r="AA17" s="4">
        <f t="shared" si="14"/>
        <v>850200</v>
      </c>
      <c r="AB17" s="8">
        <f t="shared" si="15"/>
        <v>566800</v>
      </c>
      <c r="AC17" s="4">
        <f t="shared" si="16"/>
        <v>283400</v>
      </c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</row>
    <row r="18" spans="1:61" s="37" customFormat="1" ht="27.6" customHeight="1" x14ac:dyDescent="0.2">
      <c r="A18" s="9">
        <v>13</v>
      </c>
      <c r="B18" s="58" t="s">
        <v>224</v>
      </c>
      <c r="C18" s="9" t="s">
        <v>184</v>
      </c>
      <c r="D18" s="59">
        <v>12755000</v>
      </c>
      <c r="E18" s="9"/>
      <c r="F18" s="9"/>
      <c r="G18" s="62"/>
      <c r="H18" s="54">
        <v>6.5</v>
      </c>
      <c r="I18" s="34"/>
      <c r="J18" s="34"/>
      <c r="K18" s="34">
        <v>12755000</v>
      </c>
      <c r="L18" s="8">
        <f t="shared" si="9"/>
        <v>12755000</v>
      </c>
      <c r="M18" s="8">
        <v>7653000</v>
      </c>
      <c r="N18" s="8">
        <f t="shared" si="10"/>
        <v>5102000</v>
      </c>
      <c r="O18" s="8"/>
      <c r="P18" s="8">
        <v>0</v>
      </c>
      <c r="Q18" s="8">
        <v>0</v>
      </c>
      <c r="R18" s="8">
        <v>2551000</v>
      </c>
      <c r="S18" s="8">
        <f t="shared" ref="S18:S21" si="17">N18-U18</f>
        <v>2551000</v>
      </c>
      <c r="T18" s="8">
        <f t="shared" si="11"/>
        <v>2551000</v>
      </c>
      <c r="U18" s="8">
        <f t="shared" si="12"/>
        <v>2551000</v>
      </c>
      <c r="V18" s="90"/>
      <c r="W18" s="90">
        <v>120386</v>
      </c>
      <c r="X18" s="4">
        <v>829075</v>
      </c>
      <c r="Y18" s="4">
        <v>830782</v>
      </c>
      <c r="Z18" s="8">
        <f t="shared" ref="Z18:Z21" si="18">S18</f>
        <v>2551000</v>
      </c>
      <c r="AA18" s="4">
        <f t="shared" si="14"/>
        <v>497445</v>
      </c>
      <c r="AB18" s="8">
        <f t="shared" si="15"/>
        <v>331630</v>
      </c>
      <c r="AC18" s="4">
        <f t="shared" si="16"/>
        <v>165815</v>
      </c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</row>
    <row r="19" spans="1:61" s="37" customFormat="1" ht="27.6" customHeight="1" x14ac:dyDescent="0.2">
      <c r="A19" s="9">
        <v>14</v>
      </c>
      <c r="B19" s="58" t="s">
        <v>225</v>
      </c>
      <c r="C19" s="9" t="s">
        <v>184</v>
      </c>
      <c r="D19" s="59">
        <v>5993000</v>
      </c>
      <c r="E19" s="9"/>
      <c r="F19" s="9"/>
      <c r="G19" s="62"/>
      <c r="H19" s="54">
        <v>6.5</v>
      </c>
      <c r="I19" s="34"/>
      <c r="J19" s="34"/>
      <c r="K19" s="34">
        <f>D19</f>
        <v>5993000</v>
      </c>
      <c r="L19" s="8">
        <f t="shared" si="9"/>
        <v>5993000</v>
      </c>
      <c r="M19" s="8">
        <v>3595800</v>
      </c>
      <c r="N19" s="8">
        <f t="shared" si="10"/>
        <v>2397200</v>
      </c>
      <c r="O19" s="8"/>
      <c r="P19" s="8">
        <v>0</v>
      </c>
      <c r="Q19" s="8">
        <v>0</v>
      </c>
      <c r="R19" s="8">
        <v>1198600</v>
      </c>
      <c r="S19" s="8">
        <f t="shared" si="17"/>
        <v>1198600</v>
      </c>
      <c r="T19" s="8">
        <f t="shared" si="11"/>
        <v>1198600</v>
      </c>
      <c r="U19" s="8">
        <f t="shared" si="12"/>
        <v>1198600</v>
      </c>
      <c r="V19" s="90"/>
      <c r="W19" s="90">
        <v>30950</v>
      </c>
      <c r="X19" s="4">
        <v>389545</v>
      </c>
      <c r="Y19" s="4">
        <v>390347</v>
      </c>
      <c r="Z19" s="8">
        <f t="shared" si="18"/>
        <v>1198600</v>
      </c>
      <c r="AA19" s="4">
        <f t="shared" si="14"/>
        <v>233727</v>
      </c>
      <c r="AB19" s="8">
        <f t="shared" si="15"/>
        <v>155818</v>
      </c>
      <c r="AC19" s="4">
        <f t="shared" si="16"/>
        <v>77909</v>
      </c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</row>
    <row r="20" spans="1:61" s="37" customFormat="1" ht="27.6" customHeight="1" x14ac:dyDescent="0.2">
      <c r="A20" s="9">
        <v>15</v>
      </c>
      <c r="B20" s="58" t="s">
        <v>225</v>
      </c>
      <c r="C20" s="9" t="s">
        <v>184</v>
      </c>
      <c r="D20" s="59">
        <v>19494000</v>
      </c>
      <c r="E20" s="9"/>
      <c r="F20" s="9"/>
      <c r="G20" s="62"/>
      <c r="H20" s="54">
        <v>6.5</v>
      </c>
      <c r="I20" s="34"/>
      <c r="J20" s="34"/>
      <c r="K20" s="34">
        <f>D20</f>
        <v>19494000</v>
      </c>
      <c r="L20" s="8">
        <f t="shared" si="9"/>
        <v>19494000</v>
      </c>
      <c r="M20" s="8">
        <v>11696400</v>
      </c>
      <c r="N20" s="8">
        <f t="shared" si="10"/>
        <v>7797600</v>
      </c>
      <c r="O20" s="8"/>
      <c r="P20" s="8">
        <v>0</v>
      </c>
      <c r="Q20" s="8">
        <v>0</v>
      </c>
      <c r="R20" s="8">
        <v>3898800</v>
      </c>
      <c r="S20" s="8">
        <f t="shared" si="17"/>
        <v>3898800</v>
      </c>
      <c r="T20" s="8">
        <f t="shared" si="11"/>
        <v>3898800</v>
      </c>
      <c r="U20" s="8">
        <f t="shared" si="12"/>
        <v>3898800</v>
      </c>
      <c r="V20" s="90"/>
      <c r="W20" s="90">
        <v>100674</v>
      </c>
      <c r="X20" s="4">
        <v>1267110</v>
      </c>
      <c r="Y20" s="4">
        <v>1269718</v>
      </c>
      <c r="Z20" s="8">
        <f t="shared" si="18"/>
        <v>3898800</v>
      </c>
      <c r="AA20" s="4">
        <f t="shared" si="14"/>
        <v>760266</v>
      </c>
      <c r="AB20" s="8">
        <f t="shared" si="15"/>
        <v>506844</v>
      </c>
      <c r="AC20" s="4">
        <f t="shared" si="16"/>
        <v>253422</v>
      </c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</row>
    <row r="21" spans="1:61" s="37" customFormat="1" ht="27.6" customHeight="1" x14ac:dyDescent="0.2">
      <c r="A21" s="9">
        <v>16</v>
      </c>
      <c r="B21" s="58" t="s">
        <v>226</v>
      </c>
      <c r="C21" s="9" t="s">
        <v>184</v>
      </c>
      <c r="D21" s="59">
        <v>3020000</v>
      </c>
      <c r="E21" s="9"/>
      <c r="F21" s="9"/>
      <c r="G21" s="62"/>
      <c r="H21" s="54">
        <v>6.5</v>
      </c>
      <c r="I21" s="34"/>
      <c r="J21" s="34"/>
      <c r="K21" s="34">
        <f>D21</f>
        <v>3020000</v>
      </c>
      <c r="L21" s="8">
        <f t="shared" si="9"/>
        <v>3020000</v>
      </c>
      <c r="M21" s="8">
        <v>1812000</v>
      </c>
      <c r="N21" s="8">
        <f t="shared" si="10"/>
        <v>1208000</v>
      </c>
      <c r="O21" s="8"/>
      <c r="P21" s="8">
        <v>0</v>
      </c>
      <c r="Q21" s="8">
        <v>0</v>
      </c>
      <c r="R21" s="8">
        <v>604000</v>
      </c>
      <c r="S21" s="8">
        <f t="shared" si="17"/>
        <v>604000</v>
      </c>
      <c r="T21" s="8">
        <f t="shared" si="11"/>
        <v>604000</v>
      </c>
      <c r="U21" s="8">
        <f t="shared" si="12"/>
        <v>604000</v>
      </c>
      <c r="V21" s="90"/>
      <c r="W21" s="90">
        <v>538</v>
      </c>
      <c r="X21" s="4">
        <v>196300</v>
      </c>
      <c r="Y21" s="4">
        <v>196704</v>
      </c>
      <c r="Z21" s="8">
        <f t="shared" si="18"/>
        <v>604000</v>
      </c>
      <c r="AA21" s="4">
        <f t="shared" si="14"/>
        <v>117780</v>
      </c>
      <c r="AB21" s="8">
        <f t="shared" si="15"/>
        <v>78520</v>
      </c>
      <c r="AC21" s="4">
        <f t="shared" si="16"/>
        <v>39260</v>
      </c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</row>
    <row r="22" spans="1:61" s="104" customFormat="1" ht="37.5" customHeight="1" x14ac:dyDescent="0.2">
      <c r="A22" s="103"/>
      <c r="B22" s="113"/>
      <c r="C22" s="105" t="s">
        <v>123</v>
      </c>
      <c r="D22" s="106">
        <f>SUM(D10:D21)</f>
        <v>200462000</v>
      </c>
      <c r="E22" s="106">
        <f>SUM(E10:E16)</f>
        <v>49</v>
      </c>
      <c r="F22" s="106">
        <f>SUM(F10:F16)</f>
        <v>14</v>
      </c>
      <c r="G22" s="106">
        <f>SUM(G10:G16)</f>
        <v>0</v>
      </c>
      <c r="H22" s="106"/>
      <c r="I22" s="106">
        <f>SUM(I10:I16)</f>
        <v>0</v>
      </c>
      <c r="J22" s="106">
        <f t="shared" ref="J22:AC22" si="19">SUM(J10:J21)</f>
        <v>137400000</v>
      </c>
      <c r="K22" s="106">
        <f t="shared" si="19"/>
        <v>200462000</v>
      </c>
      <c r="L22" s="106">
        <f t="shared" si="19"/>
        <v>172982000</v>
      </c>
      <c r="M22" s="106">
        <f t="shared" si="19"/>
        <v>92797200</v>
      </c>
      <c r="N22" s="106">
        <f t="shared" si="19"/>
        <v>52704800</v>
      </c>
      <c r="O22" s="106">
        <f t="shared" si="19"/>
        <v>0</v>
      </c>
      <c r="P22" s="106">
        <f t="shared" si="19"/>
        <v>0</v>
      </c>
      <c r="Q22" s="106">
        <f t="shared" si="19"/>
        <v>27480000</v>
      </c>
      <c r="R22" s="106">
        <f t="shared" si="19"/>
        <v>40092400</v>
      </c>
      <c r="S22" s="106">
        <f t="shared" si="19"/>
        <v>12612400</v>
      </c>
      <c r="T22" s="106">
        <f t="shared" si="19"/>
        <v>40092400</v>
      </c>
      <c r="U22" s="106">
        <f t="shared" si="19"/>
        <v>40092400</v>
      </c>
      <c r="V22" s="106">
        <f t="shared" si="19"/>
        <v>3255253</v>
      </c>
      <c r="W22" s="106">
        <f t="shared" si="19"/>
        <v>9522303.9830825664</v>
      </c>
      <c r="X22" s="106">
        <f t="shared" si="19"/>
        <v>12480551</v>
      </c>
      <c r="Y22" s="106">
        <f t="shared" si="19"/>
        <v>10644523</v>
      </c>
      <c r="Z22" s="106">
        <f t="shared" si="19"/>
        <v>12612400</v>
      </c>
      <c r="AA22" s="106">
        <f t="shared" si="19"/>
        <v>6031818</v>
      </c>
      <c r="AB22" s="106">
        <f t="shared" si="19"/>
        <v>3425812</v>
      </c>
      <c r="AC22" s="106">
        <f t="shared" si="19"/>
        <v>819806</v>
      </c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</row>
    <row r="23" spans="1:61" ht="27.6" customHeight="1" x14ac:dyDescent="0.2">
      <c r="A23" s="9">
        <v>17</v>
      </c>
      <c r="B23" s="58" t="s">
        <v>236</v>
      </c>
      <c r="C23" s="9" t="s">
        <v>185</v>
      </c>
      <c r="D23" s="59">
        <v>14500000</v>
      </c>
      <c r="E23" s="9">
        <v>7</v>
      </c>
      <c r="F23" s="9">
        <v>2</v>
      </c>
      <c r="G23" s="62" t="s">
        <v>178</v>
      </c>
      <c r="H23" s="54">
        <v>6.5</v>
      </c>
      <c r="I23" s="34">
        <v>0</v>
      </c>
      <c r="J23" s="34">
        <f>D23</f>
        <v>14500000</v>
      </c>
      <c r="K23" s="34">
        <v>14500000</v>
      </c>
      <c r="L23" s="8">
        <f t="shared" ref="L23:L28" si="20">K23-Q23</f>
        <v>11600000</v>
      </c>
      <c r="M23" s="8">
        <v>5800000</v>
      </c>
      <c r="N23" s="8">
        <f t="shared" ref="N23:N31" si="21">M23-U23</f>
        <v>2900000</v>
      </c>
      <c r="O23" s="8">
        <v>0</v>
      </c>
      <c r="P23" s="8">
        <v>0</v>
      </c>
      <c r="Q23" s="8">
        <v>2900000</v>
      </c>
      <c r="R23" s="8">
        <v>2900000</v>
      </c>
      <c r="S23" s="8">
        <f t="shared" si="1"/>
        <v>0</v>
      </c>
      <c r="T23" s="8">
        <f t="shared" ref="T23:T28" si="22">R23</f>
        <v>2900000</v>
      </c>
      <c r="U23" s="8">
        <f t="shared" ref="U23:U31" si="23">T23</f>
        <v>2900000</v>
      </c>
      <c r="V23" s="90">
        <v>523543</v>
      </c>
      <c r="W23" s="90">
        <v>940560</v>
      </c>
      <c r="X23" s="4">
        <v>848508</v>
      </c>
      <c r="Y23" s="4">
        <v>661172</v>
      </c>
      <c r="Z23" s="4"/>
      <c r="AA23" s="4">
        <f t="shared" ref="AA23:AA31" si="24">M23*6.5/100</f>
        <v>377000</v>
      </c>
      <c r="AB23" s="8">
        <f t="shared" ref="AB23:AB31" si="25">N23*6.5/100</f>
        <v>188500</v>
      </c>
      <c r="AC23" s="4">
        <f t="shared" ref="AC23:AC31" si="26">S23*H23%</f>
        <v>0</v>
      </c>
    </row>
    <row r="24" spans="1:61" ht="27.6" customHeight="1" x14ac:dyDescent="0.2">
      <c r="A24" s="9">
        <v>18</v>
      </c>
      <c r="B24" s="58" t="s">
        <v>239</v>
      </c>
      <c r="C24" s="9" t="s">
        <v>185</v>
      </c>
      <c r="D24" s="59">
        <v>14000000</v>
      </c>
      <c r="E24" s="9">
        <v>7</v>
      </c>
      <c r="F24" s="9">
        <v>2</v>
      </c>
      <c r="G24" s="62" t="s">
        <v>178</v>
      </c>
      <c r="H24" s="54">
        <v>6.5</v>
      </c>
      <c r="I24" s="34">
        <v>0</v>
      </c>
      <c r="J24" s="34">
        <v>14000000</v>
      </c>
      <c r="K24" s="34">
        <v>14000000</v>
      </c>
      <c r="L24" s="8">
        <f t="shared" si="20"/>
        <v>11200000</v>
      </c>
      <c r="M24" s="8">
        <v>5600000</v>
      </c>
      <c r="N24" s="8">
        <f t="shared" si="21"/>
        <v>2800000</v>
      </c>
      <c r="O24" s="8">
        <v>0</v>
      </c>
      <c r="P24" s="8">
        <v>0</v>
      </c>
      <c r="Q24" s="8">
        <v>2800000</v>
      </c>
      <c r="R24" s="8">
        <v>2800000</v>
      </c>
      <c r="S24" s="8">
        <f t="shared" si="1"/>
        <v>0</v>
      </c>
      <c r="T24" s="8">
        <f t="shared" si="22"/>
        <v>2800000</v>
      </c>
      <c r="U24" s="8">
        <f t="shared" si="23"/>
        <v>2800000</v>
      </c>
      <c r="V24" s="90">
        <v>430695</v>
      </c>
      <c r="W24" s="90">
        <v>908127</v>
      </c>
      <c r="X24" s="4">
        <v>834707</v>
      </c>
      <c r="Y24" s="4">
        <v>653831</v>
      </c>
      <c r="Z24" s="4"/>
      <c r="AA24" s="4">
        <f t="shared" si="24"/>
        <v>364000</v>
      </c>
      <c r="AB24" s="8">
        <f t="shared" si="25"/>
        <v>182000</v>
      </c>
      <c r="AC24" s="4">
        <f t="shared" si="26"/>
        <v>0</v>
      </c>
    </row>
    <row r="25" spans="1:61" ht="27.6" customHeight="1" x14ac:dyDescent="0.2">
      <c r="A25" s="9">
        <v>19</v>
      </c>
      <c r="B25" s="58" t="s">
        <v>242</v>
      </c>
      <c r="C25" s="9" t="s">
        <v>185</v>
      </c>
      <c r="D25" s="59">
        <v>16100000</v>
      </c>
      <c r="E25" s="9">
        <v>7</v>
      </c>
      <c r="F25" s="9">
        <v>2</v>
      </c>
      <c r="G25" s="62" t="s">
        <v>178</v>
      </c>
      <c r="H25" s="54">
        <v>6.5</v>
      </c>
      <c r="I25" s="34"/>
      <c r="J25" s="34">
        <v>16100000</v>
      </c>
      <c r="K25" s="34">
        <v>16100000</v>
      </c>
      <c r="L25" s="8">
        <f t="shared" si="20"/>
        <v>12880000</v>
      </c>
      <c r="M25" s="8">
        <v>6440000</v>
      </c>
      <c r="N25" s="8">
        <f t="shared" si="21"/>
        <v>3220000</v>
      </c>
      <c r="O25" s="8">
        <v>0</v>
      </c>
      <c r="P25" s="8">
        <v>0</v>
      </c>
      <c r="Q25" s="8">
        <v>3220000</v>
      </c>
      <c r="R25" s="8">
        <v>3220000</v>
      </c>
      <c r="S25" s="8">
        <f t="shared" si="1"/>
        <v>0</v>
      </c>
      <c r="T25" s="8">
        <f t="shared" si="22"/>
        <v>3220000</v>
      </c>
      <c r="U25" s="8">
        <f t="shared" si="23"/>
        <v>3220000</v>
      </c>
      <c r="V25" s="90">
        <v>415020</v>
      </c>
      <c r="W25" s="90">
        <v>1044346</v>
      </c>
      <c r="X25" s="4">
        <v>977116</v>
      </c>
      <c r="Y25" s="4">
        <v>769108</v>
      </c>
      <c r="Z25" s="4"/>
      <c r="AA25" s="4">
        <f t="shared" si="24"/>
        <v>418600</v>
      </c>
      <c r="AB25" s="8">
        <f t="shared" si="25"/>
        <v>209300</v>
      </c>
      <c r="AC25" s="4">
        <f t="shared" si="26"/>
        <v>0</v>
      </c>
    </row>
    <row r="26" spans="1:61" s="37" customFormat="1" ht="27.6" customHeight="1" x14ac:dyDescent="0.2">
      <c r="A26" s="9">
        <v>20</v>
      </c>
      <c r="B26" s="58" t="s">
        <v>243</v>
      </c>
      <c r="C26" s="9" t="s">
        <v>185</v>
      </c>
      <c r="D26" s="59">
        <v>14800000</v>
      </c>
      <c r="E26" s="9">
        <v>7</v>
      </c>
      <c r="F26" s="9">
        <v>2</v>
      </c>
      <c r="G26" s="62" t="s">
        <v>178</v>
      </c>
      <c r="H26" s="54">
        <v>6.5</v>
      </c>
      <c r="I26" s="34">
        <v>0</v>
      </c>
      <c r="J26" s="34">
        <v>0</v>
      </c>
      <c r="K26" s="34">
        <v>14800000</v>
      </c>
      <c r="L26" s="8">
        <f t="shared" si="20"/>
        <v>14800000</v>
      </c>
      <c r="M26" s="8">
        <v>8880000</v>
      </c>
      <c r="N26" s="8">
        <f t="shared" si="21"/>
        <v>5920000</v>
      </c>
      <c r="O26" s="8">
        <v>0</v>
      </c>
      <c r="P26" s="8">
        <v>0</v>
      </c>
      <c r="Q26" s="8">
        <v>0</v>
      </c>
      <c r="R26" s="8">
        <v>2960000</v>
      </c>
      <c r="S26" s="8">
        <f>N26-U26</f>
        <v>2960000</v>
      </c>
      <c r="T26" s="8">
        <f t="shared" si="22"/>
        <v>2960000</v>
      </c>
      <c r="U26" s="8">
        <f t="shared" si="23"/>
        <v>2960000</v>
      </c>
      <c r="V26" s="90">
        <v>0</v>
      </c>
      <c r="W26" s="90">
        <v>733976</v>
      </c>
      <c r="X26" s="4">
        <v>962000</v>
      </c>
      <c r="Y26" s="4">
        <v>819152</v>
      </c>
      <c r="Z26" s="8">
        <f>S26</f>
        <v>2960000</v>
      </c>
      <c r="AA26" s="4">
        <f t="shared" si="24"/>
        <v>577200</v>
      </c>
      <c r="AB26" s="8">
        <f t="shared" si="25"/>
        <v>384800</v>
      </c>
      <c r="AC26" s="4">
        <f t="shared" si="26"/>
        <v>192400</v>
      </c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</row>
    <row r="27" spans="1:61" s="37" customFormat="1" ht="27.6" customHeight="1" x14ac:dyDescent="0.2">
      <c r="A27" s="9">
        <v>21</v>
      </c>
      <c r="B27" s="58" t="s">
        <v>244</v>
      </c>
      <c r="C27" s="9" t="s">
        <v>185</v>
      </c>
      <c r="D27" s="59">
        <v>60027000</v>
      </c>
      <c r="E27" s="9">
        <v>7</v>
      </c>
      <c r="F27" s="9">
        <v>2</v>
      </c>
      <c r="G27" s="62" t="s">
        <v>178</v>
      </c>
      <c r="H27" s="54">
        <v>6.5</v>
      </c>
      <c r="I27" s="34">
        <v>0</v>
      </c>
      <c r="J27" s="34">
        <v>0</v>
      </c>
      <c r="K27" s="34">
        <v>60027000</v>
      </c>
      <c r="L27" s="8">
        <f t="shared" si="20"/>
        <v>60027000</v>
      </c>
      <c r="M27" s="8">
        <v>36017000</v>
      </c>
      <c r="N27" s="8">
        <f t="shared" si="21"/>
        <v>24012000</v>
      </c>
      <c r="O27" s="8">
        <v>0</v>
      </c>
      <c r="P27" s="8">
        <v>0</v>
      </c>
      <c r="Q27" s="8">
        <v>0</v>
      </c>
      <c r="R27" s="8">
        <v>12005000</v>
      </c>
      <c r="S27" s="8">
        <f t="shared" ref="S27:S31" si="27">N27-U27</f>
        <v>12007000</v>
      </c>
      <c r="T27" s="8">
        <f t="shared" si="22"/>
        <v>12005000</v>
      </c>
      <c r="U27" s="8">
        <f t="shared" si="23"/>
        <v>12005000</v>
      </c>
      <c r="V27" s="90">
        <v>0</v>
      </c>
      <c r="W27" s="90">
        <v>737592</v>
      </c>
      <c r="X27" s="4">
        <v>3901755</v>
      </c>
      <c r="Y27" s="4">
        <v>3781865</v>
      </c>
      <c r="Z27" s="8">
        <f t="shared" ref="Z27:Z28" si="28">S27</f>
        <v>12007000</v>
      </c>
      <c r="AA27" s="4">
        <f t="shared" si="24"/>
        <v>2341105</v>
      </c>
      <c r="AB27" s="8">
        <f t="shared" si="25"/>
        <v>1560780</v>
      </c>
      <c r="AC27" s="4">
        <f t="shared" si="26"/>
        <v>780455</v>
      </c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</row>
    <row r="28" spans="1:61" s="37" customFormat="1" ht="27.6" customHeight="1" x14ac:dyDescent="0.2">
      <c r="A28" s="9">
        <v>22</v>
      </c>
      <c r="B28" s="58" t="s">
        <v>227</v>
      </c>
      <c r="C28" s="9" t="s">
        <v>185</v>
      </c>
      <c r="D28" s="59">
        <v>1310000</v>
      </c>
      <c r="E28" s="9"/>
      <c r="F28" s="9"/>
      <c r="G28" s="62"/>
      <c r="H28" s="54">
        <v>6.5</v>
      </c>
      <c r="I28" s="34"/>
      <c r="J28" s="34">
        <v>0</v>
      </c>
      <c r="K28" s="34">
        <v>1310000</v>
      </c>
      <c r="L28" s="8">
        <f t="shared" si="20"/>
        <v>1310000</v>
      </c>
      <c r="M28" s="8">
        <v>786000</v>
      </c>
      <c r="N28" s="8">
        <f t="shared" si="21"/>
        <v>524000</v>
      </c>
      <c r="O28" s="8"/>
      <c r="P28" s="8">
        <v>0</v>
      </c>
      <c r="Q28" s="8">
        <v>0</v>
      </c>
      <c r="R28" s="8">
        <v>262000</v>
      </c>
      <c r="S28" s="8">
        <f t="shared" si="27"/>
        <v>262000</v>
      </c>
      <c r="T28" s="8">
        <f t="shared" si="22"/>
        <v>262000</v>
      </c>
      <c r="U28" s="8">
        <f t="shared" si="23"/>
        <v>262000</v>
      </c>
      <c r="V28" s="90"/>
      <c r="W28" s="90">
        <v>467</v>
      </c>
      <c r="X28" s="4">
        <v>85150</v>
      </c>
      <c r="Y28" s="4">
        <v>85325</v>
      </c>
      <c r="Z28" s="8">
        <f t="shared" si="28"/>
        <v>262000</v>
      </c>
      <c r="AA28" s="4">
        <f t="shared" si="24"/>
        <v>51090</v>
      </c>
      <c r="AB28" s="8">
        <f t="shared" si="25"/>
        <v>34060</v>
      </c>
      <c r="AC28" s="4">
        <f t="shared" si="26"/>
        <v>17030</v>
      </c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</row>
    <row r="29" spans="1:61" s="37" customFormat="1" ht="27.6" customHeight="1" x14ac:dyDescent="0.2">
      <c r="A29" s="9">
        <v>23</v>
      </c>
      <c r="B29" s="58" t="s">
        <v>319</v>
      </c>
      <c r="C29" s="9" t="s">
        <v>185</v>
      </c>
      <c r="D29" s="59">
        <v>944000</v>
      </c>
      <c r="E29" s="9"/>
      <c r="F29" s="9"/>
      <c r="G29" s="62"/>
      <c r="H29" s="54">
        <v>6.5</v>
      </c>
      <c r="I29" s="34"/>
      <c r="J29" s="34"/>
      <c r="K29" s="34">
        <v>944000</v>
      </c>
      <c r="L29" s="8">
        <v>944000</v>
      </c>
      <c r="M29" s="8">
        <v>755200</v>
      </c>
      <c r="N29" s="8">
        <f t="shared" si="21"/>
        <v>566400</v>
      </c>
      <c r="O29" s="8"/>
      <c r="P29" s="8"/>
      <c r="Q29" s="8">
        <v>0</v>
      </c>
      <c r="R29" s="8">
        <v>0</v>
      </c>
      <c r="S29" s="8">
        <f t="shared" si="27"/>
        <v>377600</v>
      </c>
      <c r="T29" s="4">
        <v>188800</v>
      </c>
      <c r="U29" s="8">
        <f t="shared" si="23"/>
        <v>188800</v>
      </c>
      <c r="V29" s="90"/>
      <c r="W29" s="90"/>
      <c r="X29" s="4">
        <v>61360</v>
      </c>
      <c r="Y29" s="4">
        <v>61360</v>
      </c>
      <c r="Z29" s="4">
        <f>D29/5</f>
        <v>188800</v>
      </c>
      <c r="AA29" s="4">
        <f t="shared" si="24"/>
        <v>49088</v>
      </c>
      <c r="AB29" s="8">
        <f t="shared" si="25"/>
        <v>36816</v>
      </c>
      <c r="AC29" s="4">
        <f t="shared" si="26"/>
        <v>24544</v>
      </c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</row>
    <row r="30" spans="1:61" s="37" customFormat="1" ht="27.6" customHeight="1" x14ac:dyDescent="0.2">
      <c r="A30" s="9">
        <v>24</v>
      </c>
      <c r="B30" s="58" t="s">
        <v>319</v>
      </c>
      <c r="C30" s="9" t="s">
        <v>185</v>
      </c>
      <c r="D30" s="59">
        <v>16848000</v>
      </c>
      <c r="E30" s="9"/>
      <c r="F30" s="9"/>
      <c r="G30" s="62"/>
      <c r="H30" s="54">
        <v>6.5</v>
      </c>
      <c r="I30" s="34"/>
      <c r="J30" s="34"/>
      <c r="K30" s="34">
        <v>16848000</v>
      </c>
      <c r="L30" s="8">
        <v>16848000</v>
      </c>
      <c r="M30" s="8">
        <v>13478400</v>
      </c>
      <c r="N30" s="8">
        <f t="shared" si="21"/>
        <v>10108800</v>
      </c>
      <c r="O30" s="8"/>
      <c r="P30" s="8"/>
      <c r="Q30" s="8">
        <v>0</v>
      </c>
      <c r="R30" s="8">
        <v>0</v>
      </c>
      <c r="S30" s="8">
        <f t="shared" si="27"/>
        <v>6739200</v>
      </c>
      <c r="T30" s="4">
        <v>3369600</v>
      </c>
      <c r="U30" s="8">
        <f t="shared" si="23"/>
        <v>3369600</v>
      </c>
      <c r="V30" s="90"/>
      <c r="W30" s="90"/>
      <c r="X30" s="4">
        <v>1095120</v>
      </c>
      <c r="Y30" s="4">
        <v>1095120</v>
      </c>
      <c r="Z30" s="4">
        <f t="shared" ref="Z30:Z31" si="29">D30/5</f>
        <v>3369600</v>
      </c>
      <c r="AA30" s="4">
        <f t="shared" si="24"/>
        <v>876096</v>
      </c>
      <c r="AB30" s="8">
        <f t="shared" si="25"/>
        <v>657072</v>
      </c>
      <c r="AC30" s="4">
        <f t="shared" si="26"/>
        <v>438048</v>
      </c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</row>
    <row r="31" spans="1:61" s="37" customFormat="1" ht="27.6" customHeight="1" x14ac:dyDescent="0.2">
      <c r="A31" s="9">
        <v>25</v>
      </c>
      <c r="B31" s="58" t="s">
        <v>320</v>
      </c>
      <c r="C31" s="9" t="s">
        <v>185</v>
      </c>
      <c r="D31" s="59">
        <v>9749000</v>
      </c>
      <c r="E31" s="9"/>
      <c r="F31" s="9"/>
      <c r="G31" s="62"/>
      <c r="H31" s="54">
        <v>6.5</v>
      </c>
      <c r="I31" s="34"/>
      <c r="J31" s="34"/>
      <c r="K31" s="34">
        <v>9749000</v>
      </c>
      <c r="L31" s="8">
        <v>9749000</v>
      </c>
      <c r="M31" s="8">
        <v>7799200</v>
      </c>
      <c r="N31" s="8">
        <f t="shared" si="21"/>
        <v>5849400</v>
      </c>
      <c r="O31" s="8"/>
      <c r="P31" s="8"/>
      <c r="Q31" s="8">
        <v>0</v>
      </c>
      <c r="R31" s="8">
        <v>0</v>
      </c>
      <c r="S31" s="8">
        <f t="shared" si="27"/>
        <v>3899600</v>
      </c>
      <c r="T31" s="4">
        <v>1949800</v>
      </c>
      <c r="U31" s="8">
        <f t="shared" si="23"/>
        <v>1949800</v>
      </c>
      <c r="V31" s="90"/>
      <c r="W31" s="90"/>
      <c r="X31" s="4">
        <v>633685</v>
      </c>
      <c r="Y31" s="4">
        <v>633685</v>
      </c>
      <c r="Z31" s="4">
        <f t="shared" si="29"/>
        <v>1949800</v>
      </c>
      <c r="AA31" s="4">
        <f t="shared" si="24"/>
        <v>506948</v>
      </c>
      <c r="AB31" s="8">
        <f t="shared" si="25"/>
        <v>380211</v>
      </c>
      <c r="AC31" s="4">
        <f t="shared" si="26"/>
        <v>253474</v>
      </c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</row>
    <row r="32" spans="1:61" s="104" customFormat="1" ht="36" customHeight="1" x14ac:dyDescent="0.2">
      <c r="A32" s="103"/>
      <c r="B32" s="113"/>
      <c r="C32" s="105" t="s">
        <v>123</v>
      </c>
      <c r="D32" s="106">
        <f>SUM(D23:D31)</f>
        <v>148278000</v>
      </c>
      <c r="E32" s="106">
        <f>SUM(E23:E27)</f>
        <v>35</v>
      </c>
      <c r="F32" s="106">
        <f>SUM(F23:F27)</f>
        <v>10</v>
      </c>
      <c r="G32" s="106">
        <f>SUM(G23:G27)</f>
        <v>0</v>
      </c>
      <c r="H32" s="106"/>
      <c r="I32" s="106">
        <f>SUM(I23:I27)</f>
        <v>0</v>
      </c>
      <c r="J32" s="106">
        <f>SUM(J23:J28)</f>
        <v>44600000</v>
      </c>
      <c r="K32" s="106">
        <f t="shared" ref="K32:AC32" si="30">SUM(K23:K31)</f>
        <v>148278000</v>
      </c>
      <c r="L32" s="106">
        <f t="shared" si="30"/>
        <v>139358000</v>
      </c>
      <c r="M32" s="106">
        <f t="shared" si="30"/>
        <v>85555800</v>
      </c>
      <c r="N32" s="106">
        <f t="shared" si="30"/>
        <v>55900600</v>
      </c>
      <c r="O32" s="106">
        <f t="shared" si="30"/>
        <v>0</v>
      </c>
      <c r="P32" s="106">
        <f t="shared" si="30"/>
        <v>0</v>
      </c>
      <c r="Q32" s="106">
        <f t="shared" si="30"/>
        <v>8920000</v>
      </c>
      <c r="R32" s="106">
        <f t="shared" si="30"/>
        <v>24147000</v>
      </c>
      <c r="S32" s="106">
        <f t="shared" si="30"/>
        <v>26245400</v>
      </c>
      <c r="T32" s="106">
        <f t="shared" si="30"/>
        <v>29655200</v>
      </c>
      <c r="U32" s="106">
        <f t="shared" si="30"/>
        <v>29655200</v>
      </c>
      <c r="V32" s="106">
        <f t="shared" si="30"/>
        <v>1369258</v>
      </c>
      <c r="W32" s="106">
        <f t="shared" si="30"/>
        <v>4365068</v>
      </c>
      <c r="X32" s="106">
        <f t="shared" si="30"/>
        <v>9399401</v>
      </c>
      <c r="Y32" s="106">
        <f t="shared" si="30"/>
        <v>8560618</v>
      </c>
      <c r="Z32" s="106">
        <f t="shared" si="30"/>
        <v>20737200</v>
      </c>
      <c r="AA32" s="106">
        <f t="shared" si="30"/>
        <v>5561127</v>
      </c>
      <c r="AB32" s="106">
        <f t="shared" si="30"/>
        <v>3633539</v>
      </c>
      <c r="AC32" s="106">
        <f t="shared" si="30"/>
        <v>1705951</v>
      </c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</row>
    <row r="33" spans="1:61" ht="27.6" customHeight="1" x14ac:dyDescent="0.2">
      <c r="A33" s="9">
        <v>26</v>
      </c>
      <c r="B33" s="9" t="s">
        <v>192</v>
      </c>
      <c r="C33" s="9" t="s">
        <v>186</v>
      </c>
      <c r="D33" s="59">
        <v>48500000</v>
      </c>
      <c r="E33" s="9">
        <v>7</v>
      </c>
      <c r="F33" s="9">
        <v>2</v>
      </c>
      <c r="G33" s="62" t="s">
        <v>178</v>
      </c>
      <c r="H33" s="54">
        <v>6.5</v>
      </c>
      <c r="I33" s="34">
        <f>D33</f>
        <v>48500000</v>
      </c>
      <c r="J33" s="34">
        <f t="shared" ref="J33" si="31">I33-O33</f>
        <v>48500000</v>
      </c>
      <c r="K33" s="34">
        <v>48500000</v>
      </c>
      <c r="L33" s="8">
        <f t="shared" ref="L33:L38" si="32">K33-Q33</f>
        <v>38800000</v>
      </c>
      <c r="M33" s="8">
        <v>19400000</v>
      </c>
      <c r="N33" s="8">
        <f t="shared" ref="N33:N40" si="33">M33-U33</f>
        <v>9700000</v>
      </c>
      <c r="O33" s="8">
        <v>0</v>
      </c>
      <c r="P33" s="8">
        <v>0</v>
      </c>
      <c r="Q33" s="8">
        <v>9700000</v>
      </c>
      <c r="R33" s="8">
        <v>9700000</v>
      </c>
      <c r="S33" s="8">
        <f t="shared" ref="S33:S35" si="34">N33-U33</f>
        <v>0</v>
      </c>
      <c r="T33" s="8">
        <f t="shared" ref="T33:T38" si="35">R33</f>
        <v>9700000</v>
      </c>
      <c r="U33" s="8">
        <f t="shared" ref="U33:U40" si="36">T33</f>
        <v>9700000</v>
      </c>
      <c r="V33" s="90">
        <v>3029435</v>
      </c>
      <c r="W33" s="90">
        <v>3146010</v>
      </c>
      <c r="X33" s="4">
        <v>2732742</v>
      </c>
      <c r="Y33" s="4">
        <v>2052587</v>
      </c>
      <c r="Z33" s="4"/>
      <c r="AA33" s="4">
        <f t="shared" ref="AA33:AA40" si="37">M33*6.5/100</f>
        <v>1261000</v>
      </c>
      <c r="AB33" s="8">
        <f t="shared" ref="AB33:AB40" si="38">N33*6.5/100</f>
        <v>630500</v>
      </c>
      <c r="AC33" s="4">
        <f t="shared" ref="AC33:AC40" si="39">S33*H33%</f>
        <v>0</v>
      </c>
    </row>
    <row r="34" spans="1:61" ht="27.6" customHeight="1" x14ac:dyDescent="0.2">
      <c r="A34" s="9">
        <v>27</v>
      </c>
      <c r="B34" s="58" t="s">
        <v>245</v>
      </c>
      <c r="C34" s="9" t="s">
        <v>186</v>
      </c>
      <c r="D34" s="59">
        <v>65000000</v>
      </c>
      <c r="E34" s="9">
        <v>7</v>
      </c>
      <c r="F34" s="9">
        <v>2</v>
      </c>
      <c r="G34" s="62" t="s">
        <v>178</v>
      </c>
      <c r="H34" s="54">
        <v>6.5</v>
      </c>
      <c r="I34" s="34">
        <v>0</v>
      </c>
      <c r="J34" s="34">
        <f>D34</f>
        <v>65000000</v>
      </c>
      <c r="K34" s="34">
        <v>65000000</v>
      </c>
      <c r="L34" s="8">
        <f t="shared" si="32"/>
        <v>52000000</v>
      </c>
      <c r="M34" s="8">
        <v>26000000</v>
      </c>
      <c r="N34" s="8">
        <f t="shared" si="33"/>
        <v>13000000</v>
      </c>
      <c r="O34" s="8">
        <v>0</v>
      </c>
      <c r="P34" s="8">
        <v>0</v>
      </c>
      <c r="Q34" s="8">
        <v>13000000</v>
      </c>
      <c r="R34" s="8">
        <v>13000000</v>
      </c>
      <c r="S34" s="8">
        <f t="shared" si="34"/>
        <v>0</v>
      </c>
      <c r="T34" s="8">
        <f t="shared" si="35"/>
        <v>13000000</v>
      </c>
      <c r="U34" s="8">
        <f t="shared" si="36"/>
        <v>13000000</v>
      </c>
      <c r="V34" s="90">
        <v>1189382</v>
      </c>
      <c r="W34" s="90">
        <v>4216303</v>
      </c>
      <c r="X34" s="4">
        <v>4016644</v>
      </c>
      <c r="Y34" s="4">
        <v>3176862</v>
      </c>
      <c r="Z34" s="4"/>
      <c r="AA34" s="4">
        <f t="shared" si="37"/>
        <v>1690000</v>
      </c>
      <c r="AB34" s="8">
        <f t="shared" si="38"/>
        <v>845000</v>
      </c>
      <c r="AC34" s="4">
        <f t="shared" si="39"/>
        <v>0</v>
      </c>
    </row>
    <row r="35" spans="1:61" ht="27.6" customHeight="1" x14ac:dyDescent="0.2">
      <c r="A35" s="9">
        <v>28</v>
      </c>
      <c r="B35" s="58" t="s">
        <v>246</v>
      </c>
      <c r="C35" s="9" t="s">
        <v>186</v>
      </c>
      <c r="D35" s="59">
        <v>51900000</v>
      </c>
      <c r="E35" s="9">
        <v>7</v>
      </c>
      <c r="F35" s="9">
        <v>2</v>
      </c>
      <c r="G35" s="62" t="s">
        <v>178</v>
      </c>
      <c r="H35" s="54">
        <v>6.5</v>
      </c>
      <c r="I35" s="34">
        <v>0</v>
      </c>
      <c r="J35" s="34">
        <f>D35</f>
        <v>51900000</v>
      </c>
      <c r="K35" s="34">
        <v>51900000</v>
      </c>
      <c r="L35" s="8">
        <f t="shared" si="32"/>
        <v>41520000</v>
      </c>
      <c r="M35" s="8">
        <v>20760000</v>
      </c>
      <c r="N35" s="8">
        <f t="shared" si="33"/>
        <v>10380000</v>
      </c>
      <c r="O35" s="8">
        <v>0</v>
      </c>
      <c r="P35" s="8">
        <v>0</v>
      </c>
      <c r="Q35" s="8">
        <v>10380000</v>
      </c>
      <c r="R35" s="8">
        <v>10380000</v>
      </c>
      <c r="S35" s="8">
        <f t="shared" si="34"/>
        <v>0</v>
      </c>
      <c r="T35" s="8">
        <f t="shared" si="35"/>
        <v>10380000</v>
      </c>
      <c r="U35" s="8">
        <f t="shared" si="36"/>
        <v>10380000</v>
      </c>
      <c r="V35" s="90">
        <v>129041</v>
      </c>
      <c r="W35" s="90">
        <v>3366556</v>
      </c>
      <c r="X35" s="4">
        <v>3373500</v>
      </c>
      <c r="Y35" s="4">
        <v>2704356</v>
      </c>
      <c r="Z35" s="4"/>
      <c r="AA35" s="4">
        <f t="shared" si="37"/>
        <v>1349400</v>
      </c>
      <c r="AB35" s="8">
        <f t="shared" si="38"/>
        <v>674700</v>
      </c>
      <c r="AC35" s="4">
        <f t="shared" si="39"/>
        <v>0</v>
      </c>
    </row>
    <row r="36" spans="1:61" s="37" customFormat="1" ht="27.6" customHeight="1" x14ac:dyDescent="0.2">
      <c r="A36" s="9">
        <v>29</v>
      </c>
      <c r="B36" s="58" t="s">
        <v>247</v>
      </c>
      <c r="C36" s="9" t="s">
        <v>186</v>
      </c>
      <c r="D36" s="59">
        <v>37800000</v>
      </c>
      <c r="E36" s="9">
        <v>7</v>
      </c>
      <c r="F36" s="9">
        <v>2</v>
      </c>
      <c r="G36" s="62" t="s">
        <v>178</v>
      </c>
      <c r="H36" s="54">
        <v>6.5</v>
      </c>
      <c r="I36" s="34">
        <v>0</v>
      </c>
      <c r="J36" s="34">
        <v>0</v>
      </c>
      <c r="K36" s="34">
        <v>37800000</v>
      </c>
      <c r="L36" s="8">
        <f t="shared" si="32"/>
        <v>37800000</v>
      </c>
      <c r="M36" s="8">
        <v>22680000</v>
      </c>
      <c r="N36" s="8">
        <f t="shared" si="33"/>
        <v>15120000</v>
      </c>
      <c r="O36" s="8">
        <v>0</v>
      </c>
      <c r="P36" s="8">
        <v>0</v>
      </c>
      <c r="Q36" s="8">
        <v>0</v>
      </c>
      <c r="R36" s="8">
        <v>7560000</v>
      </c>
      <c r="S36" s="8">
        <f>N36-U36</f>
        <v>7560000</v>
      </c>
      <c r="T36" s="8">
        <f t="shared" si="35"/>
        <v>7560000</v>
      </c>
      <c r="U36" s="8">
        <f t="shared" si="36"/>
        <v>7560000</v>
      </c>
      <c r="V36" s="90">
        <v>0</v>
      </c>
      <c r="W36" s="90">
        <v>1780632</v>
      </c>
      <c r="X36" s="4">
        <v>2457000</v>
      </c>
      <c r="Y36" s="4">
        <v>2133895</v>
      </c>
      <c r="Z36" s="8">
        <f>S36</f>
        <v>7560000</v>
      </c>
      <c r="AA36" s="4">
        <f t="shared" si="37"/>
        <v>1474200</v>
      </c>
      <c r="AB36" s="8">
        <f t="shared" si="38"/>
        <v>982800</v>
      </c>
      <c r="AC36" s="4">
        <f t="shared" si="39"/>
        <v>491400</v>
      </c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</row>
    <row r="37" spans="1:61" s="37" customFormat="1" ht="27.6" customHeight="1" x14ac:dyDescent="0.2">
      <c r="A37" s="9">
        <v>30</v>
      </c>
      <c r="B37" s="58" t="s">
        <v>244</v>
      </c>
      <c r="C37" s="9" t="s">
        <v>186</v>
      </c>
      <c r="D37" s="59">
        <v>37748000</v>
      </c>
      <c r="E37" s="9">
        <v>7</v>
      </c>
      <c r="F37" s="9">
        <v>2</v>
      </c>
      <c r="G37" s="62" t="s">
        <v>178</v>
      </c>
      <c r="H37" s="54">
        <v>6.5</v>
      </c>
      <c r="I37" s="34">
        <v>0</v>
      </c>
      <c r="J37" s="34">
        <v>0</v>
      </c>
      <c r="K37" s="34">
        <v>37748000</v>
      </c>
      <c r="L37" s="8">
        <f t="shared" si="32"/>
        <v>37748000</v>
      </c>
      <c r="M37" s="8">
        <v>22648000</v>
      </c>
      <c r="N37" s="8">
        <f t="shared" si="33"/>
        <v>15098000</v>
      </c>
      <c r="O37" s="8">
        <v>0</v>
      </c>
      <c r="P37" s="8">
        <v>0</v>
      </c>
      <c r="Q37" s="8">
        <v>0</v>
      </c>
      <c r="R37" s="8">
        <v>7550000</v>
      </c>
      <c r="S37" s="8">
        <f t="shared" ref="S37:S40" si="40">N37-U37</f>
        <v>7548000</v>
      </c>
      <c r="T37" s="8">
        <f t="shared" si="35"/>
        <v>7550000</v>
      </c>
      <c r="U37" s="8">
        <f t="shared" si="36"/>
        <v>7550000</v>
      </c>
      <c r="V37" s="90">
        <v>0</v>
      </c>
      <c r="W37" s="90">
        <v>463835</v>
      </c>
      <c r="X37" s="4">
        <v>2453620</v>
      </c>
      <c r="Y37" s="4">
        <v>2378220</v>
      </c>
      <c r="Z37" s="8">
        <f t="shared" ref="Z37:Z38" si="41">S37</f>
        <v>7548000</v>
      </c>
      <c r="AA37" s="4">
        <f t="shared" si="37"/>
        <v>1472120</v>
      </c>
      <c r="AB37" s="8">
        <f t="shared" si="38"/>
        <v>981370</v>
      </c>
      <c r="AC37" s="4">
        <f t="shared" si="39"/>
        <v>490620</v>
      </c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</row>
    <row r="38" spans="1:61" s="37" customFormat="1" ht="27.6" customHeight="1" x14ac:dyDescent="0.2">
      <c r="A38" s="9">
        <v>31</v>
      </c>
      <c r="B38" s="58" t="s">
        <v>228</v>
      </c>
      <c r="C38" s="9" t="s">
        <v>186</v>
      </c>
      <c r="D38" s="59">
        <v>15075000</v>
      </c>
      <c r="E38" s="9"/>
      <c r="F38" s="9"/>
      <c r="G38" s="62"/>
      <c r="H38" s="54">
        <v>6.5</v>
      </c>
      <c r="I38" s="34"/>
      <c r="J38" s="34">
        <v>0</v>
      </c>
      <c r="K38" s="34">
        <v>15075000</v>
      </c>
      <c r="L38" s="8">
        <f t="shared" si="32"/>
        <v>15075000</v>
      </c>
      <c r="M38" s="8">
        <v>9045000</v>
      </c>
      <c r="N38" s="8">
        <f t="shared" si="33"/>
        <v>6030000</v>
      </c>
      <c r="O38" s="8"/>
      <c r="P38" s="8">
        <v>0</v>
      </c>
      <c r="Q38" s="8">
        <v>0</v>
      </c>
      <c r="R38" s="8">
        <v>3015000</v>
      </c>
      <c r="S38" s="8">
        <f t="shared" si="40"/>
        <v>3015000</v>
      </c>
      <c r="T38" s="8">
        <f t="shared" si="35"/>
        <v>3015000</v>
      </c>
      <c r="U38" s="8">
        <f t="shared" si="36"/>
        <v>3015000</v>
      </c>
      <c r="V38" s="90"/>
      <c r="W38" s="90">
        <v>16108</v>
      </c>
      <c r="X38" s="4">
        <v>979875</v>
      </c>
      <c r="Y38" s="4">
        <v>981892</v>
      </c>
      <c r="Z38" s="8">
        <f t="shared" si="41"/>
        <v>3015000</v>
      </c>
      <c r="AA38" s="4">
        <f t="shared" si="37"/>
        <v>587925</v>
      </c>
      <c r="AB38" s="8">
        <f t="shared" si="38"/>
        <v>391950</v>
      </c>
      <c r="AC38" s="4">
        <f t="shared" si="39"/>
        <v>195975</v>
      </c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</row>
    <row r="39" spans="1:61" s="37" customFormat="1" ht="27.6" customHeight="1" x14ac:dyDescent="0.2">
      <c r="A39" s="9">
        <v>32</v>
      </c>
      <c r="B39" s="58" t="s">
        <v>319</v>
      </c>
      <c r="C39" s="9" t="s">
        <v>186</v>
      </c>
      <c r="D39" s="59">
        <v>11050000</v>
      </c>
      <c r="E39" s="9"/>
      <c r="F39" s="9"/>
      <c r="G39" s="62"/>
      <c r="H39" s="54">
        <v>6.5</v>
      </c>
      <c r="I39" s="34"/>
      <c r="J39" s="34"/>
      <c r="K39" s="34">
        <v>11050000</v>
      </c>
      <c r="L39" s="8">
        <v>11050000</v>
      </c>
      <c r="M39" s="8">
        <v>8840000</v>
      </c>
      <c r="N39" s="8">
        <f t="shared" si="33"/>
        <v>6630000</v>
      </c>
      <c r="O39" s="8"/>
      <c r="P39" s="8"/>
      <c r="Q39" s="8">
        <v>0</v>
      </c>
      <c r="R39" s="8">
        <v>0</v>
      </c>
      <c r="S39" s="8">
        <f t="shared" si="40"/>
        <v>4420000</v>
      </c>
      <c r="T39" s="4">
        <v>2210000</v>
      </c>
      <c r="U39" s="8">
        <f t="shared" si="36"/>
        <v>2210000</v>
      </c>
      <c r="V39" s="90"/>
      <c r="W39" s="90"/>
      <c r="X39" s="4">
        <v>718250</v>
      </c>
      <c r="Y39" s="4">
        <v>718250</v>
      </c>
      <c r="Z39" s="4">
        <f>D39/5</f>
        <v>2210000</v>
      </c>
      <c r="AA39" s="4">
        <f t="shared" si="37"/>
        <v>574600</v>
      </c>
      <c r="AB39" s="8">
        <f t="shared" si="38"/>
        <v>430950</v>
      </c>
      <c r="AC39" s="4">
        <f t="shared" si="39"/>
        <v>287300</v>
      </c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1" s="95" customFormat="1" ht="27.6" customHeight="1" x14ac:dyDescent="0.2">
      <c r="A40" s="9">
        <v>33</v>
      </c>
      <c r="B40" s="58" t="s">
        <v>359</v>
      </c>
      <c r="C40" s="9" t="s">
        <v>186</v>
      </c>
      <c r="D40" s="59">
        <v>785000</v>
      </c>
      <c r="E40" s="9"/>
      <c r="F40" s="9"/>
      <c r="G40" s="62"/>
      <c r="H40" s="54">
        <v>6.5</v>
      </c>
      <c r="I40" s="34"/>
      <c r="J40" s="34"/>
      <c r="K40" s="34">
        <v>785000</v>
      </c>
      <c r="L40" s="8">
        <f>D40</f>
        <v>785000</v>
      </c>
      <c r="M40" s="8">
        <v>628000</v>
      </c>
      <c r="N40" s="8">
        <f t="shared" si="33"/>
        <v>471000</v>
      </c>
      <c r="O40" s="8"/>
      <c r="P40" s="8"/>
      <c r="Q40" s="8">
        <v>0</v>
      </c>
      <c r="R40" s="8">
        <v>0</v>
      </c>
      <c r="S40" s="8">
        <f t="shared" si="40"/>
        <v>314000</v>
      </c>
      <c r="T40" s="4">
        <v>157000</v>
      </c>
      <c r="U40" s="8">
        <f t="shared" si="36"/>
        <v>157000</v>
      </c>
      <c r="V40" s="90"/>
      <c r="W40" s="90"/>
      <c r="X40" s="4">
        <v>51025</v>
      </c>
      <c r="Y40" s="4">
        <v>51025</v>
      </c>
      <c r="Z40" s="4">
        <f>D40/5</f>
        <v>157000</v>
      </c>
      <c r="AA40" s="4">
        <f t="shared" si="37"/>
        <v>40820</v>
      </c>
      <c r="AB40" s="8">
        <f t="shared" si="38"/>
        <v>30615</v>
      </c>
      <c r="AC40" s="4">
        <f t="shared" si="39"/>
        <v>20410</v>
      </c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</row>
    <row r="41" spans="1:61" s="104" customFormat="1" ht="36.75" customHeight="1" x14ac:dyDescent="0.2">
      <c r="A41" s="103"/>
      <c r="B41" s="113"/>
      <c r="C41" s="105" t="s">
        <v>123</v>
      </c>
      <c r="D41" s="106">
        <f>SUM(D33:D40)</f>
        <v>267858000</v>
      </c>
      <c r="E41" s="106">
        <f>SUM(E33:E37)</f>
        <v>35</v>
      </c>
      <c r="F41" s="106">
        <f>SUM(F33:F37)</f>
        <v>10</v>
      </c>
      <c r="G41" s="106">
        <f>SUM(G33:G37)</f>
        <v>0</v>
      </c>
      <c r="H41" s="106"/>
      <c r="I41" s="106">
        <f>SUM(I33:I37)</f>
        <v>48500000</v>
      </c>
      <c r="J41" s="106">
        <f>SUM(J33:J38)</f>
        <v>165400000</v>
      </c>
      <c r="K41" s="106">
        <f t="shared" ref="K41:AC41" si="42">SUM(K33:K40)</f>
        <v>267858000</v>
      </c>
      <c r="L41" s="106">
        <f t="shared" si="42"/>
        <v>234778000</v>
      </c>
      <c r="M41" s="106">
        <f t="shared" si="42"/>
        <v>130001000</v>
      </c>
      <c r="N41" s="106">
        <f t="shared" si="42"/>
        <v>76429000</v>
      </c>
      <c r="O41" s="106">
        <f t="shared" si="42"/>
        <v>0</v>
      </c>
      <c r="P41" s="106">
        <f t="shared" si="42"/>
        <v>0</v>
      </c>
      <c r="Q41" s="106">
        <f t="shared" si="42"/>
        <v>33080000</v>
      </c>
      <c r="R41" s="106">
        <f t="shared" si="42"/>
        <v>51205000</v>
      </c>
      <c r="S41" s="106">
        <f t="shared" si="42"/>
        <v>22857000</v>
      </c>
      <c r="T41" s="106">
        <f t="shared" si="42"/>
        <v>53572000</v>
      </c>
      <c r="U41" s="106">
        <f t="shared" si="42"/>
        <v>53572000</v>
      </c>
      <c r="V41" s="106">
        <f t="shared" si="42"/>
        <v>4347858</v>
      </c>
      <c r="W41" s="106">
        <f t="shared" si="42"/>
        <v>12989444</v>
      </c>
      <c r="X41" s="106">
        <f t="shared" si="42"/>
        <v>16782656</v>
      </c>
      <c r="Y41" s="106">
        <f t="shared" si="42"/>
        <v>14197087</v>
      </c>
      <c r="Z41" s="106">
        <f t="shared" si="42"/>
        <v>20490000</v>
      </c>
      <c r="AA41" s="106">
        <f t="shared" si="42"/>
        <v>8450065</v>
      </c>
      <c r="AB41" s="106">
        <f t="shared" si="42"/>
        <v>4967885</v>
      </c>
      <c r="AC41" s="106">
        <f t="shared" si="42"/>
        <v>1485705</v>
      </c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</row>
    <row r="42" spans="1:61" ht="27.6" customHeight="1" x14ac:dyDescent="0.2">
      <c r="A42" s="9">
        <v>34</v>
      </c>
      <c r="B42" s="58" t="s">
        <v>248</v>
      </c>
      <c r="C42" s="9" t="s">
        <v>187</v>
      </c>
      <c r="D42" s="59">
        <v>114600000</v>
      </c>
      <c r="E42" s="9">
        <v>7</v>
      </c>
      <c r="F42" s="9">
        <v>2</v>
      </c>
      <c r="G42" s="62" t="s">
        <v>178</v>
      </c>
      <c r="H42" s="54">
        <v>6.5</v>
      </c>
      <c r="I42" s="34">
        <v>0</v>
      </c>
      <c r="J42" s="34">
        <v>114600000</v>
      </c>
      <c r="K42" s="34">
        <v>114600000</v>
      </c>
      <c r="L42" s="8">
        <f t="shared" ref="L42:L55" si="43">K42-Q42</f>
        <v>91680000</v>
      </c>
      <c r="M42" s="8">
        <v>45840000</v>
      </c>
      <c r="N42" s="8">
        <f t="shared" ref="N42:N69" si="44">M42-U42</f>
        <v>22920000</v>
      </c>
      <c r="O42" s="8">
        <v>0</v>
      </c>
      <c r="P42" s="8">
        <v>0</v>
      </c>
      <c r="Q42" s="8">
        <v>22920000</v>
      </c>
      <c r="R42" s="8">
        <v>22920000</v>
      </c>
      <c r="S42" s="8">
        <f t="shared" ref="S42:S48" si="45">N42-U42</f>
        <v>0</v>
      </c>
      <c r="T42" s="8">
        <f t="shared" ref="T42:T55" si="46">R42</f>
        <v>22920000</v>
      </c>
      <c r="U42" s="8">
        <f t="shared" ref="U42:U69" si="47">T42</f>
        <v>22920000</v>
      </c>
      <c r="V42" s="90">
        <v>5280655</v>
      </c>
      <c r="W42" s="90">
        <v>7433666</v>
      </c>
      <c r="X42" s="4">
        <v>6457161</v>
      </c>
      <c r="Y42" s="4">
        <v>4976561</v>
      </c>
      <c r="Z42" s="8">
        <f t="shared" ref="Z42:Z55" si="48">S42</f>
        <v>0</v>
      </c>
      <c r="AA42" s="4">
        <f t="shared" ref="AA42:AA70" si="49">M42*6.5/100</f>
        <v>2979600</v>
      </c>
      <c r="AB42" s="8">
        <f t="shared" ref="AB42:AB87" si="50">N42*6.5/100</f>
        <v>1489800</v>
      </c>
      <c r="AC42" s="4">
        <f t="shared" ref="AC42:AC88" si="51">S42*H42%</f>
        <v>0</v>
      </c>
    </row>
    <row r="43" spans="1:61" ht="27.6" customHeight="1" x14ac:dyDescent="0.2">
      <c r="A43" s="9">
        <v>35</v>
      </c>
      <c r="B43" s="58" t="s">
        <v>249</v>
      </c>
      <c r="C43" s="9" t="s">
        <v>187</v>
      </c>
      <c r="D43" s="59">
        <v>145600000</v>
      </c>
      <c r="E43" s="9">
        <v>7</v>
      </c>
      <c r="F43" s="9">
        <v>2</v>
      </c>
      <c r="G43" s="62" t="s">
        <v>178</v>
      </c>
      <c r="H43" s="54">
        <v>6.5</v>
      </c>
      <c r="I43" s="34">
        <v>0</v>
      </c>
      <c r="J43" s="34">
        <v>145600000</v>
      </c>
      <c r="K43" s="34">
        <v>145600000</v>
      </c>
      <c r="L43" s="8">
        <f t="shared" si="43"/>
        <v>116480000</v>
      </c>
      <c r="M43" s="8">
        <v>58240000</v>
      </c>
      <c r="N43" s="8">
        <f t="shared" si="44"/>
        <v>29120000</v>
      </c>
      <c r="O43" s="8">
        <v>0</v>
      </c>
      <c r="P43" s="8">
        <v>0</v>
      </c>
      <c r="Q43" s="8">
        <v>29120000</v>
      </c>
      <c r="R43" s="8">
        <v>29120000</v>
      </c>
      <c r="S43" s="8">
        <f t="shared" si="45"/>
        <v>0</v>
      </c>
      <c r="T43" s="8">
        <f t="shared" si="46"/>
        <v>29120000</v>
      </c>
      <c r="U43" s="8">
        <f t="shared" si="47"/>
        <v>29120000</v>
      </c>
      <c r="V43" s="90">
        <v>3260578</v>
      </c>
      <c r="W43" s="90">
        <v>9444518</v>
      </c>
      <c r="X43" s="4">
        <v>8836524</v>
      </c>
      <c r="Y43" s="4">
        <v>6955413</v>
      </c>
      <c r="Z43" s="8">
        <f t="shared" si="48"/>
        <v>0</v>
      </c>
      <c r="AA43" s="4">
        <f t="shared" si="49"/>
        <v>3785600</v>
      </c>
      <c r="AB43" s="8">
        <f t="shared" si="50"/>
        <v>1892800</v>
      </c>
      <c r="AC43" s="4">
        <f t="shared" si="51"/>
        <v>0</v>
      </c>
    </row>
    <row r="44" spans="1:61" ht="27.6" customHeight="1" x14ac:dyDescent="0.2">
      <c r="A44" s="9">
        <v>36</v>
      </c>
      <c r="B44" s="58" t="s">
        <v>250</v>
      </c>
      <c r="C44" s="9" t="s">
        <v>187</v>
      </c>
      <c r="D44" s="59">
        <v>229100000</v>
      </c>
      <c r="E44" s="9">
        <v>7</v>
      </c>
      <c r="F44" s="9">
        <v>2</v>
      </c>
      <c r="G44" s="62" t="s">
        <v>178</v>
      </c>
      <c r="H44" s="54">
        <v>6.5</v>
      </c>
      <c r="I44" s="34">
        <v>0</v>
      </c>
      <c r="J44" s="34">
        <v>229100000</v>
      </c>
      <c r="K44" s="34">
        <v>229100000</v>
      </c>
      <c r="L44" s="8">
        <f t="shared" si="43"/>
        <v>183280000</v>
      </c>
      <c r="M44" s="8">
        <v>91640000</v>
      </c>
      <c r="N44" s="8">
        <f t="shared" si="44"/>
        <v>45820000</v>
      </c>
      <c r="O44" s="8">
        <v>0</v>
      </c>
      <c r="P44" s="8">
        <v>0</v>
      </c>
      <c r="Q44" s="8">
        <v>45820000</v>
      </c>
      <c r="R44" s="8">
        <v>45820000</v>
      </c>
      <c r="S44" s="8">
        <f t="shared" si="45"/>
        <v>0</v>
      </c>
      <c r="T44" s="8">
        <f t="shared" si="46"/>
        <v>45820000</v>
      </c>
      <c r="U44" s="8">
        <f t="shared" si="47"/>
        <v>45820000</v>
      </c>
      <c r="V44" s="90">
        <v>3906524</v>
      </c>
      <c r="W44" s="90">
        <v>14860846</v>
      </c>
      <c r="X44" s="4">
        <v>14157125</v>
      </c>
      <c r="Y44" s="4">
        <v>11197217</v>
      </c>
      <c r="Z44" s="8">
        <f t="shared" si="48"/>
        <v>0</v>
      </c>
      <c r="AA44" s="4">
        <f t="shared" si="49"/>
        <v>5956600</v>
      </c>
      <c r="AB44" s="8">
        <f t="shared" si="50"/>
        <v>2978300</v>
      </c>
      <c r="AC44" s="4">
        <f t="shared" si="51"/>
        <v>0</v>
      </c>
    </row>
    <row r="45" spans="1:61" ht="27.6" customHeight="1" x14ac:dyDescent="0.2">
      <c r="A45" s="9">
        <v>37</v>
      </c>
      <c r="B45" s="58" t="s">
        <v>251</v>
      </c>
      <c r="C45" s="9" t="s">
        <v>187</v>
      </c>
      <c r="D45" s="59">
        <v>92500000</v>
      </c>
      <c r="E45" s="9">
        <v>7</v>
      </c>
      <c r="F45" s="9">
        <v>2</v>
      </c>
      <c r="G45" s="62" t="s">
        <v>178</v>
      </c>
      <c r="H45" s="54">
        <v>6.5</v>
      </c>
      <c r="I45" s="34">
        <v>0</v>
      </c>
      <c r="J45" s="34">
        <v>92500000</v>
      </c>
      <c r="K45" s="34">
        <v>92500000</v>
      </c>
      <c r="L45" s="8">
        <f t="shared" si="43"/>
        <v>74000000</v>
      </c>
      <c r="M45" s="8">
        <v>37000000</v>
      </c>
      <c r="N45" s="8">
        <f t="shared" si="44"/>
        <v>18500000</v>
      </c>
      <c r="O45" s="8">
        <v>0</v>
      </c>
      <c r="P45" s="8">
        <v>0</v>
      </c>
      <c r="Q45" s="8">
        <v>18500000</v>
      </c>
      <c r="R45" s="8">
        <v>18500000</v>
      </c>
      <c r="S45" s="8">
        <f t="shared" si="45"/>
        <v>0</v>
      </c>
      <c r="T45" s="8">
        <f t="shared" si="46"/>
        <v>18500000</v>
      </c>
      <c r="U45" s="8">
        <f t="shared" si="47"/>
        <v>18500000</v>
      </c>
      <c r="V45" s="90">
        <v>1462056</v>
      </c>
      <c r="W45" s="90">
        <v>6000123</v>
      </c>
      <c r="X45" s="4">
        <v>5973716</v>
      </c>
      <c r="Y45" s="4">
        <v>4806759</v>
      </c>
      <c r="Z45" s="8">
        <f t="shared" si="48"/>
        <v>0</v>
      </c>
      <c r="AA45" s="4">
        <f t="shared" si="49"/>
        <v>2405000</v>
      </c>
      <c r="AB45" s="8">
        <f t="shared" si="50"/>
        <v>1202500</v>
      </c>
      <c r="AC45" s="4">
        <f t="shared" si="51"/>
        <v>0</v>
      </c>
    </row>
    <row r="46" spans="1:61" ht="27.6" customHeight="1" x14ac:dyDescent="0.2">
      <c r="A46" s="9">
        <v>38</v>
      </c>
      <c r="B46" s="58" t="s">
        <v>246</v>
      </c>
      <c r="C46" s="9" t="s">
        <v>187</v>
      </c>
      <c r="D46" s="59">
        <v>132100000</v>
      </c>
      <c r="E46" s="9">
        <v>7</v>
      </c>
      <c r="F46" s="9">
        <v>2</v>
      </c>
      <c r="G46" s="62" t="s">
        <v>178</v>
      </c>
      <c r="H46" s="54">
        <v>6.5</v>
      </c>
      <c r="I46" s="34">
        <v>0</v>
      </c>
      <c r="J46" s="34">
        <v>132100000</v>
      </c>
      <c r="K46" s="34">
        <v>132100000</v>
      </c>
      <c r="L46" s="8">
        <f t="shared" si="43"/>
        <v>105680000</v>
      </c>
      <c r="M46" s="8">
        <v>52840000</v>
      </c>
      <c r="N46" s="8">
        <f t="shared" si="44"/>
        <v>26420000</v>
      </c>
      <c r="O46" s="8">
        <v>0</v>
      </c>
      <c r="P46" s="8">
        <v>0</v>
      </c>
      <c r="Q46" s="8">
        <v>26420000</v>
      </c>
      <c r="R46" s="8">
        <v>26420000</v>
      </c>
      <c r="S46" s="8">
        <f t="shared" si="45"/>
        <v>0</v>
      </c>
      <c r="T46" s="8">
        <f t="shared" si="46"/>
        <v>26420000</v>
      </c>
      <c r="U46" s="8">
        <f t="shared" si="47"/>
        <v>26420000</v>
      </c>
      <c r="V46" s="90">
        <v>328445</v>
      </c>
      <c r="W46" s="90">
        <v>8568824</v>
      </c>
      <c r="X46" s="4">
        <v>8586500</v>
      </c>
      <c r="Y46" s="4">
        <v>6883341</v>
      </c>
      <c r="Z46" s="8">
        <f t="shared" si="48"/>
        <v>0</v>
      </c>
      <c r="AA46" s="4">
        <f t="shared" si="49"/>
        <v>3434600</v>
      </c>
      <c r="AB46" s="8">
        <f t="shared" si="50"/>
        <v>1717300</v>
      </c>
      <c r="AC46" s="4">
        <f t="shared" si="51"/>
        <v>0</v>
      </c>
    </row>
    <row r="47" spans="1:61" ht="27.6" customHeight="1" x14ac:dyDescent="0.2">
      <c r="A47" s="9">
        <v>39</v>
      </c>
      <c r="B47" s="58" t="s">
        <v>252</v>
      </c>
      <c r="C47" s="9" t="s">
        <v>187</v>
      </c>
      <c r="D47" s="59">
        <v>148400000</v>
      </c>
      <c r="E47" s="9">
        <v>7</v>
      </c>
      <c r="F47" s="9">
        <v>2</v>
      </c>
      <c r="G47" s="62" t="s">
        <v>178</v>
      </c>
      <c r="H47" s="54">
        <v>6.5</v>
      </c>
      <c r="I47" s="34">
        <v>0</v>
      </c>
      <c r="J47" s="34">
        <v>148400000</v>
      </c>
      <c r="K47" s="34">
        <v>148400000</v>
      </c>
      <c r="L47" s="8">
        <f t="shared" si="43"/>
        <v>118720000</v>
      </c>
      <c r="M47" s="8">
        <v>59360000</v>
      </c>
      <c r="N47" s="8">
        <f t="shared" si="44"/>
        <v>29680000</v>
      </c>
      <c r="O47" s="8">
        <v>0</v>
      </c>
      <c r="P47" s="8">
        <v>0</v>
      </c>
      <c r="Q47" s="8">
        <v>29680000</v>
      </c>
      <c r="R47" s="8">
        <v>29680000</v>
      </c>
      <c r="S47" s="8">
        <f t="shared" si="45"/>
        <v>0</v>
      </c>
      <c r="T47" s="8">
        <f t="shared" si="46"/>
        <v>29680000</v>
      </c>
      <c r="U47" s="8">
        <f t="shared" si="47"/>
        <v>29680000</v>
      </c>
      <c r="V47" s="90">
        <v>158131</v>
      </c>
      <c r="W47" s="90">
        <v>9626143</v>
      </c>
      <c r="X47" s="4">
        <v>9646000</v>
      </c>
      <c r="Y47" s="4">
        <v>7732685</v>
      </c>
      <c r="Z47" s="8">
        <f t="shared" si="48"/>
        <v>0</v>
      </c>
      <c r="AA47" s="4">
        <f t="shared" si="49"/>
        <v>3858400</v>
      </c>
      <c r="AB47" s="8">
        <f t="shared" si="50"/>
        <v>1929200</v>
      </c>
      <c r="AC47" s="4">
        <f t="shared" si="51"/>
        <v>0</v>
      </c>
    </row>
    <row r="48" spans="1:61" ht="27.6" customHeight="1" x14ac:dyDescent="0.2">
      <c r="A48" s="9">
        <v>40</v>
      </c>
      <c r="B48" s="58" t="s">
        <v>237</v>
      </c>
      <c r="C48" s="9" t="s">
        <v>187</v>
      </c>
      <c r="D48" s="59">
        <v>68800000</v>
      </c>
      <c r="E48" s="9">
        <v>7</v>
      </c>
      <c r="F48" s="9">
        <v>2</v>
      </c>
      <c r="G48" s="62" t="s">
        <v>178</v>
      </c>
      <c r="H48" s="54">
        <v>6.5</v>
      </c>
      <c r="I48" s="34">
        <v>0</v>
      </c>
      <c r="J48" s="34">
        <v>68800000</v>
      </c>
      <c r="K48" s="34">
        <v>68800000</v>
      </c>
      <c r="L48" s="8">
        <f t="shared" si="43"/>
        <v>55040000</v>
      </c>
      <c r="M48" s="8">
        <v>27520000</v>
      </c>
      <c r="N48" s="8">
        <f t="shared" si="44"/>
        <v>13760000</v>
      </c>
      <c r="O48" s="8">
        <v>0</v>
      </c>
      <c r="P48" s="8">
        <v>0</v>
      </c>
      <c r="Q48" s="8">
        <v>13760000</v>
      </c>
      <c r="R48" s="8">
        <v>13760000</v>
      </c>
      <c r="S48" s="8">
        <f t="shared" si="45"/>
        <v>0</v>
      </c>
      <c r="T48" s="8">
        <f t="shared" si="46"/>
        <v>13760000</v>
      </c>
      <c r="U48" s="8">
        <f t="shared" si="47"/>
        <v>13760000</v>
      </c>
      <c r="V48" s="90">
        <v>48874</v>
      </c>
      <c r="W48" s="90">
        <v>4462794</v>
      </c>
      <c r="X48" s="4">
        <v>4472000</v>
      </c>
      <c r="Y48" s="4">
        <v>3584965</v>
      </c>
      <c r="Z48" s="8">
        <f t="shared" si="48"/>
        <v>0</v>
      </c>
      <c r="AA48" s="4">
        <f t="shared" si="49"/>
        <v>1788800</v>
      </c>
      <c r="AB48" s="8">
        <f t="shared" si="50"/>
        <v>894400</v>
      </c>
      <c r="AC48" s="4">
        <f t="shared" si="51"/>
        <v>0</v>
      </c>
    </row>
    <row r="49" spans="1:61" ht="27.6" customHeight="1" x14ac:dyDescent="0.2">
      <c r="A49" s="9">
        <v>41</v>
      </c>
      <c r="B49" s="58" t="s">
        <v>253</v>
      </c>
      <c r="C49" s="9" t="s">
        <v>187</v>
      </c>
      <c r="D49" s="59">
        <v>133300000</v>
      </c>
      <c r="E49" s="9">
        <v>7</v>
      </c>
      <c r="F49" s="9">
        <v>2</v>
      </c>
      <c r="G49" s="62" t="s">
        <v>178</v>
      </c>
      <c r="H49" s="54">
        <v>6.5</v>
      </c>
      <c r="I49" s="34">
        <v>0</v>
      </c>
      <c r="J49" s="34"/>
      <c r="K49" s="34">
        <v>133300000</v>
      </c>
      <c r="L49" s="8">
        <f t="shared" si="43"/>
        <v>133300000</v>
      </c>
      <c r="M49" s="8">
        <v>79980000</v>
      </c>
      <c r="N49" s="8">
        <f t="shared" si="44"/>
        <v>53320000</v>
      </c>
      <c r="O49" s="8">
        <v>0</v>
      </c>
      <c r="P49" s="8">
        <v>0</v>
      </c>
      <c r="Q49" s="8">
        <v>0</v>
      </c>
      <c r="R49" s="8">
        <v>26660000</v>
      </c>
      <c r="S49" s="8">
        <f>N49-U49</f>
        <v>26660000</v>
      </c>
      <c r="T49" s="8">
        <f t="shared" si="46"/>
        <v>26660000</v>
      </c>
      <c r="U49" s="8">
        <f t="shared" si="47"/>
        <v>26660000</v>
      </c>
      <c r="V49" s="90">
        <v>0</v>
      </c>
      <c r="W49" s="90">
        <v>5995232</v>
      </c>
      <c r="X49" s="4">
        <v>8664500</v>
      </c>
      <c r="Y49" s="4">
        <v>7525085</v>
      </c>
      <c r="Z49" s="8">
        <f t="shared" si="48"/>
        <v>26660000</v>
      </c>
      <c r="AA49" s="4">
        <f t="shared" si="49"/>
        <v>5198700</v>
      </c>
      <c r="AB49" s="8">
        <f t="shared" si="50"/>
        <v>3465800</v>
      </c>
      <c r="AC49" s="4">
        <f t="shared" si="51"/>
        <v>1732900</v>
      </c>
    </row>
    <row r="50" spans="1:61" s="37" customFormat="1" ht="27.6" customHeight="1" x14ac:dyDescent="0.2">
      <c r="A50" s="9">
        <v>42</v>
      </c>
      <c r="B50" s="58" t="s">
        <v>254</v>
      </c>
      <c r="C50" s="9" t="s">
        <v>187</v>
      </c>
      <c r="D50" s="59">
        <v>112800000</v>
      </c>
      <c r="E50" s="9">
        <v>7</v>
      </c>
      <c r="F50" s="9">
        <v>2</v>
      </c>
      <c r="G50" s="62" t="s">
        <v>178</v>
      </c>
      <c r="H50" s="54">
        <v>6.5</v>
      </c>
      <c r="I50" s="34">
        <v>0</v>
      </c>
      <c r="J50" s="34"/>
      <c r="K50" s="34">
        <v>112800000</v>
      </c>
      <c r="L50" s="8">
        <f t="shared" si="43"/>
        <v>112800000</v>
      </c>
      <c r="M50" s="8">
        <v>67680000</v>
      </c>
      <c r="N50" s="8">
        <f t="shared" si="44"/>
        <v>45120000</v>
      </c>
      <c r="O50" s="8">
        <v>0</v>
      </c>
      <c r="P50" s="8">
        <v>0</v>
      </c>
      <c r="Q50" s="8">
        <v>0</v>
      </c>
      <c r="R50" s="8">
        <v>22560000</v>
      </c>
      <c r="S50" s="8">
        <f t="shared" ref="S50:S87" si="52">N50-U50</f>
        <v>22560000</v>
      </c>
      <c r="T50" s="8">
        <f t="shared" si="46"/>
        <v>22560000</v>
      </c>
      <c r="U50" s="8">
        <f t="shared" si="47"/>
        <v>22560000</v>
      </c>
      <c r="V50" s="90">
        <v>0</v>
      </c>
      <c r="W50" s="90">
        <v>4372087</v>
      </c>
      <c r="X50" s="4">
        <v>7332000</v>
      </c>
      <c r="Y50" s="4">
        <v>6492357</v>
      </c>
      <c r="Z50" s="8">
        <f t="shared" si="48"/>
        <v>22560000</v>
      </c>
      <c r="AA50" s="4">
        <f t="shared" si="49"/>
        <v>4399200</v>
      </c>
      <c r="AB50" s="8">
        <f t="shared" si="50"/>
        <v>2932800</v>
      </c>
      <c r="AC50" s="4">
        <f t="shared" si="51"/>
        <v>1466400</v>
      </c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</row>
    <row r="51" spans="1:61" s="37" customFormat="1" ht="27.6" customHeight="1" x14ac:dyDescent="0.2">
      <c r="A51" s="9">
        <v>43</v>
      </c>
      <c r="B51" s="58" t="s">
        <v>255</v>
      </c>
      <c r="C51" s="9" t="s">
        <v>187</v>
      </c>
      <c r="D51" s="59">
        <v>303600000</v>
      </c>
      <c r="E51" s="9"/>
      <c r="F51" s="9"/>
      <c r="G51" s="62"/>
      <c r="H51" s="54">
        <v>6.5</v>
      </c>
      <c r="I51" s="34"/>
      <c r="J51" s="34"/>
      <c r="K51" s="34">
        <f>D51</f>
        <v>303600000</v>
      </c>
      <c r="L51" s="8">
        <f t="shared" si="43"/>
        <v>303600000</v>
      </c>
      <c r="M51" s="8">
        <v>182160000</v>
      </c>
      <c r="N51" s="8">
        <f t="shared" si="44"/>
        <v>121440000</v>
      </c>
      <c r="O51" s="8"/>
      <c r="P51" s="8">
        <v>0</v>
      </c>
      <c r="Q51" s="8">
        <v>0</v>
      </c>
      <c r="R51" s="8">
        <v>60720000</v>
      </c>
      <c r="S51" s="8">
        <f t="shared" si="52"/>
        <v>60720000</v>
      </c>
      <c r="T51" s="8">
        <f t="shared" si="46"/>
        <v>60720000</v>
      </c>
      <c r="U51" s="8">
        <f t="shared" si="47"/>
        <v>60720000</v>
      </c>
      <c r="V51" s="90"/>
      <c r="W51" s="90">
        <v>6699131</v>
      </c>
      <c r="X51" s="4">
        <v>19734000</v>
      </c>
      <c r="Y51" s="4">
        <v>18793315</v>
      </c>
      <c r="Z51" s="8">
        <f t="shared" si="48"/>
        <v>60720000</v>
      </c>
      <c r="AA51" s="4">
        <f t="shared" si="49"/>
        <v>11840400</v>
      </c>
      <c r="AB51" s="8">
        <f t="shared" si="50"/>
        <v>7893600</v>
      </c>
      <c r="AC51" s="4">
        <f t="shared" si="51"/>
        <v>3946800</v>
      </c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</row>
    <row r="52" spans="1:61" s="37" customFormat="1" ht="27.6" customHeight="1" x14ac:dyDescent="0.2">
      <c r="A52" s="9">
        <v>44</v>
      </c>
      <c r="B52" s="58" t="s">
        <v>256</v>
      </c>
      <c r="C52" s="9" t="s">
        <v>187</v>
      </c>
      <c r="D52" s="59">
        <v>129014000</v>
      </c>
      <c r="E52" s="9"/>
      <c r="F52" s="9"/>
      <c r="G52" s="62"/>
      <c r="H52" s="54">
        <v>6.5</v>
      </c>
      <c r="I52" s="34"/>
      <c r="J52" s="34"/>
      <c r="K52" s="34">
        <v>129014000</v>
      </c>
      <c r="L52" s="8">
        <f t="shared" si="43"/>
        <v>129014000</v>
      </c>
      <c r="M52" s="8">
        <v>77408000</v>
      </c>
      <c r="N52" s="8">
        <f t="shared" si="44"/>
        <v>51605000</v>
      </c>
      <c r="O52" s="8"/>
      <c r="P52" s="8">
        <v>0</v>
      </c>
      <c r="Q52" s="8">
        <v>0</v>
      </c>
      <c r="R52" s="8">
        <v>25803000</v>
      </c>
      <c r="S52" s="8">
        <f t="shared" si="52"/>
        <v>25802000</v>
      </c>
      <c r="T52" s="8">
        <f t="shared" si="46"/>
        <v>25803000</v>
      </c>
      <c r="U52" s="8">
        <f t="shared" si="47"/>
        <v>25803000</v>
      </c>
      <c r="V52" s="90"/>
      <c r="W52" s="90">
        <v>1631232</v>
      </c>
      <c r="X52" s="4">
        <v>8385910</v>
      </c>
      <c r="Y52" s="4">
        <v>8128223</v>
      </c>
      <c r="Z52" s="8">
        <f t="shared" si="48"/>
        <v>25802000</v>
      </c>
      <c r="AA52" s="4">
        <f t="shared" si="49"/>
        <v>5031520</v>
      </c>
      <c r="AB52" s="8">
        <f t="shared" si="50"/>
        <v>3354325</v>
      </c>
      <c r="AC52" s="4">
        <f t="shared" si="51"/>
        <v>1677130</v>
      </c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</row>
    <row r="53" spans="1:61" s="37" customFormat="1" ht="27.6" customHeight="1" x14ac:dyDescent="0.2">
      <c r="A53" s="9">
        <v>45</v>
      </c>
      <c r="B53" s="58" t="s">
        <v>256</v>
      </c>
      <c r="C53" s="9" t="s">
        <v>187</v>
      </c>
      <c r="D53" s="59">
        <v>99946000</v>
      </c>
      <c r="E53" s="9"/>
      <c r="F53" s="9"/>
      <c r="G53" s="62"/>
      <c r="H53" s="54">
        <v>6.5</v>
      </c>
      <c r="I53" s="34"/>
      <c r="J53" s="34"/>
      <c r="K53" s="34">
        <v>99946000</v>
      </c>
      <c r="L53" s="8">
        <f t="shared" si="43"/>
        <v>99946000</v>
      </c>
      <c r="M53" s="8">
        <v>59968000</v>
      </c>
      <c r="N53" s="8">
        <f t="shared" si="44"/>
        <v>39979000</v>
      </c>
      <c r="O53" s="8"/>
      <c r="P53" s="8">
        <v>0</v>
      </c>
      <c r="Q53" s="8">
        <v>0</v>
      </c>
      <c r="R53" s="8">
        <v>19989000</v>
      </c>
      <c r="S53" s="8">
        <f t="shared" si="52"/>
        <v>19990000</v>
      </c>
      <c r="T53" s="8">
        <f t="shared" si="46"/>
        <v>19989000</v>
      </c>
      <c r="U53" s="8">
        <f t="shared" si="47"/>
        <v>19989000</v>
      </c>
      <c r="V53" s="90"/>
      <c r="W53" s="90">
        <v>1263701</v>
      </c>
      <c r="X53" s="4">
        <v>6496490</v>
      </c>
      <c r="Y53" s="4">
        <v>6296866</v>
      </c>
      <c r="Z53" s="8">
        <f t="shared" si="48"/>
        <v>19990000</v>
      </c>
      <c r="AA53" s="4">
        <f t="shared" si="49"/>
        <v>3897920</v>
      </c>
      <c r="AB53" s="8">
        <f t="shared" si="50"/>
        <v>2598635</v>
      </c>
      <c r="AC53" s="4">
        <f t="shared" si="51"/>
        <v>1299350</v>
      </c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</row>
    <row r="54" spans="1:61" s="37" customFormat="1" ht="27.6" customHeight="1" x14ac:dyDescent="0.2">
      <c r="A54" s="9">
        <v>46</v>
      </c>
      <c r="B54" s="58" t="s">
        <v>228</v>
      </c>
      <c r="C54" s="9" t="s">
        <v>187</v>
      </c>
      <c r="D54" s="59">
        <v>166471000</v>
      </c>
      <c r="E54" s="9"/>
      <c r="F54" s="9"/>
      <c r="G54" s="62"/>
      <c r="H54" s="54">
        <v>6.5</v>
      </c>
      <c r="I54" s="34"/>
      <c r="J54" s="34"/>
      <c r="K54" s="34">
        <v>166471000</v>
      </c>
      <c r="L54" s="8">
        <f t="shared" si="43"/>
        <v>166471000</v>
      </c>
      <c r="M54" s="8">
        <v>99882600</v>
      </c>
      <c r="N54" s="8">
        <f t="shared" si="44"/>
        <v>66588400</v>
      </c>
      <c r="O54" s="8"/>
      <c r="P54" s="8">
        <v>0</v>
      </c>
      <c r="Q54" s="8">
        <v>0</v>
      </c>
      <c r="R54" s="8">
        <v>33294200</v>
      </c>
      <c r="S54" s="8">
        <f t="shared" si="52"/>
        <v>33294200</v>
      </c>
      <c r="T54" s="8">
        <f t="shared" si="46"/>
        <v>33294200</v>
      </c>
      <c r="U54" s="8">
        <f t="shared" si="47"/>
        <v>33294200</v>
      </c>
      <c r="V54" s="90"/>
      <c r="W54" s="90">
        <v>177873</v>
      </c>
      <c r="X54" s="4">
        <v>10820615</v>
      </c>
      <c r="Y54" s="4">
        <v>10842890</v>
      </c>
      <c r="Z54" s="8">
        <f t="shared" si="48"/>
        <v>33294200</v>
      </c>
      <c r="AA54" s="4">
        <f t="shared" si="49"/>
        <v>6492369</v>
      </c>
      <c r="AB54" s="8">
        <f t="shared" si="50"/>
        <v>4328246</v>
      </c>
      <c r="AC54" s="4">
        <f t="shared" si="51"/>
        <v>2164123</v>
      </c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</row>
    <row r="55" spans="1:61" s="37" customFormat="1" ht="27.6" customHeight="1" x14ac:dyDescent="0.2">
      <c r="A55" s="9">
        <v>47</v>
      </c>
      <c r="B55" s="58" t="s">
        <v>227</v>
      </c>
      <c r="C55" s="9" t="s">
        <v>187</v>
      </c>
      <c r="D55" s="59">
        <v>60565000</v>
      </c>
      <c r="E55" s="9"/>
      <c r="F55" s="9"/>
      <c r="G55" s="62"/>
      <c r="H55" s="54">
        <v>6.5</v>
      </c>
      <c r="I55" s="34"/>
      <c r="J55" s="34"/>
      <c r="K55" s="34">
        <v>60565000</v>
      </c>
      <c r="L55" s="8">
        <f t="shared" si="43"/>
        <v>60565000</v>
      </c>
      <c r="M55" s="8">
        <v>36339000</v>
      </c>
      <c r="N55" s="8">
        <f t="shared" si="44"/>
        <v>24226000</v>
      </c>
      <c r="O55" s="8"/>
      <c r="P55" s="8">
        <v>0</v>
      </c>
      <c r="Q55" s="8">
        <v>0</v>
      </c>
      <c r="R55" s="8">
        <v>12113000</v>
      </c>
      <c r="S55" s="8">
        <f t="shared" si="52"/>
        <v>12113000</v>
      </c>
      <c r="T55" s="8">
        <f t="shared" si="46"/>
        <v>12113000</v>
      </c>
      <c r="U55" s="8">
        <f t="shared" si="47"/>
        <v>12113000</v>
      </c>
      <c r="V55" s="90"/>
      <c r="W55" s="90">
        <v>21571</v>
      </c>
      <c r="X55" s="4">
        <v>3936725</v>
      </c>
      <c r="Y55" s="4">
        <v>3944829</v>
      </c>
      <c r="Z55" s="8">
        <f t="shared" si="48"/>
        <v>12113000</v>
      </c>
      <c r="AA55" s="4">
        <f t="shared" si="49"/>
        <v>2362035</v>
      </c>
      <c r="AB55" s="8">
        <f t="shared" si="50"/>
        <v>1574690</v>
      </c>
      <c r="AC55" s="4">
        <f t="shared" si="51"/>
        <v>787345</v>
      </c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</row>
    <row r="56" spans="1:61" s="37" customFormat="1" ht="27.6" customHeight="1" x14ac:dyDescent="0.2">
      <c r="A56" s="9">
        <v>48</v>
      </c>
      <c r="B56" s="58" t="s">
        <v>321</v>
      </c>
      <c r="C56" s="9" t="s">
        <v>187</v>
      </c>
      <c r="D56" s="59">
        <v>50642000</v>
      </c>
      <c r="E56" s="9"/>
      <c r="F56" s="9"/>
      <c r="G56" s="62"/>
      <c r="H56" s="54">
        <v>6.5</v>
      </c>
      <c r="I56" s="34"/>
      <c r="J56" s="34"/>
      <c r="K56" s="34">
        <v>50642000</v>
      </c>
      <c r="L56" s="8">
        <v>50642000</v>
      </c>
      <c r="M56" s="8">
        <v>40513600</v>
      </c>
      <c r="N56" s="8">
        <f t="shared" si="44"/>
        <v>30385200</v>
      </c>
      <c r="O56" s="8"/>
      <c r="P56" s="8"/>
      <c r="Q56" s="8">
        <v>0</v>
      </c>
      <c r="R56" s="8">
        <f t="shared" ref="R56:R76" si="53">Q56</f>
        <v>0</v>
      </c>
      <c r="S56" s="8">
        <f t="shared" si="52"/>
        <v>20256800</v>
      </c>
      <c r="T56" s="4">
        <v>10128400</v>
      </c>
      <c r="U56" s="8">
        <f t="shared" si="47"/>
        <v>10128400</v>
      </c>
      <c r="V56" s="90"/>
      <c r="W56" s="90"/>
      <c r="X56" s="4">
        <v>3291730</v>
      </c>
      <c r="Y56" s="4">
        <v>3291730</v>
      </c>
      <c r="Z56" s="8">
        <f>U56</f>
        <v>10128400</v>
      </c>
      <c r="AA56" s="4">
        <f t="shared" si="49"/>
        <v>2633384</v>
      </c>
      <c r="AB56" s="8">
        <f t="shared" si="50"/>
        <v>1975038</v>
      </c>
      <c r="AC56" s="4">
        <f t="shared" si="51"/>
        <v>1316692</v>
      </c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</row>
    <row r="57" spans="1:61" s="37" customFormat="1" ht="27.6" customHeight="1" x14ac:dyDescent="0.2">
      <c r="A57" s="9">
        <v>49</v>
      </c>
      <c r="B57" s="58" t="s">
        <v>322</v>
      </c>
      <c r="C57" s="9" t="s">
        <v>187</v>
      </c>
      <c r="D57" s="59">
        <v>158085000</v>
      </c>
      <c r="E57" s="9"/>
      <c r="F57" s="9"/>
      <c r="G57" s="62"/>
      <c r="H57" s="54">
        <v>6.5</v>
      </c>
      <c r="I57" s="34"/>
      <c r="J57" s="34"/>
      <c r="K57" s="34">
        <v>158085000</v>
      </c>
      <c r="L57" s="8">
        <v>158085000</v>
      </c>
      <c r="M57" s="8">
        <v>126468000</v>
      </c>
      <c r="N57" s="8">
        <f t="shared" si="44"/>
        <v>94851000</v>
      </c>
      <c r="O57" s="8"/>
      <c r="P57" s="8"/>
      <c r="Q57" s="8">
        <v>0</v>
      </c>
      <c r="R57" s="8">
        <f t="shared" si="53"/>
        <v>0</v>
      </c>
      <c r="S57" s="8">
        <f t="shared" si="52"/>
        <v>63234000</v>
      </c>
      <c r="T57" s="4">
        <v>31617000</v>
      </c>
      <c r="U57" s="8">
        <f t="shared" si="47"/>
        <v>31617000</v>
      </c>
      <c r="V57" s="90"/>
      <c r="W57" s="90"/>
      <c r="X57" s="4">
        <v>10275525</v>
      </c>
      <c r="Y57" s="4">
        <v>10275525</v>
      </c>
      <c r="Z57" s="8">
        <f t="shared" ref="Z57:Z81" si="54">U57</f>
        <v>31617000</v>
      </c>
      <c r="AA57" s="4">
        <f t="shared" si="49"/>
        <v>8220420</v>
      </c>
      <c r="AB57" s="8">
        <f t="shared" si="50"/>
        <v>6165315</v>
      </c>
      <c r="AC57" s="4">
        <f t="shared" si="51"/>
        <v>4110210</v>
      </c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</row>
    <row r="58" spans="1:61" s="37" customFormat="1" ht="27.6" customHeight="1" x14ac:dyDescent="0.2">
      <c r="A58" s="9">
        <v>50</v>
      </c>
      <c r="B58" s="58" t="s">
        <v>323</v>
      </c>
      <c r="C58" s="9" t="s">
        <v>187</v>
      </c>
      <c r="D58" s="59">
        <v>153839000</v>
      </c>
      <c r="E58" s="9"/>
      <c r="F58" s="9"/>
      <c r="G58" s="62"/>
      <c r="H58" s="54">
        <v>6.5</v>
      </c>
      <c r="I58" s="34"/>
      <c r="J58" s="34"/>
      <c r="K58" s="34">
        <v>153839000</v>
      </c>
      <c r="L58" s="8">
        <v>153839000</v>
      </c>
      <c r="M58" s="8">
        <v>123071200</v>
      </c>
      <c r="N58" s="8">
        <f t="shared" si="44"/>
        <v>92303400</v>
      </c>
      <c r="O58" s="8"/>
      <c r="P58" s="8"/>
      <c r="Q58" s="8">
        <v>0</v>
      </c>
      <c r="R58" s="8">
        <f t="shared" si="53"/>
        <v>0</v>
      </c>
      <c r="S58" s="8">
        <f t="shared" si="52"/>
        <v>61535600</v>
      </c>
      <c r="T58" s="4">
        <v>30767800</v>
      </c>
      <c r="U58" s="8">
        <f t="shared" si="47"/>
        <v>30767800</v>
      </c>
      <c r="V58" s="90"/>
      <c r="W58" s="90"/>
      <c r="X58" s="4">
        <v>9999535</v>
      </c>
      <c r="Y58" s="4">
        <v>9999535</v>
      </c>
      <c r="Z58" s="8">
        <f t="shared" si="54"/>
        <v>30767800</v>
      </c>
      <c r="AA58" s="4">
        <f t="shared" si="49"/>
        <v>7999628</v>
      </c>
      <c r="AB58" s="8">
        <f t="shared" si="50"/>
        <v>5999721</v>
      </c>
      <c r="AC58" s="4">
        <f t="shared" si="51"/>
        <v>3999814</v>
      </c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</row>
    <row r="59" spans="1:61" s="37" customFormat="1" ht="27.6" customHeight="1" x14ac:dyDescent="0.2">
      <c r="A59" s="9">
        <v>51</v>
      </c>
      <c r="B59" s="58" t="s">
        <v>324</v>
      </c>
      <c r="C59" s="9" t="s">
        <v>187</v>
      </c>
      <c r="D59" s="59">
        <v>64884000</v>
      </c>
      <c r="E59" s="9"/>
      <c r="F59" s="9"/>
      <c r="G59" s="62"/>
      <c r="H59" s="54">
        <v>6.5</v>
      </c>
      <c r="I59" s="34"/>
      <c r="J59" s="34"/>
      <c r="K59" s="34">
        <v>64884000</v>
      </c>
      <c r="L59" s="8">
        <v>64884000</v>
      </c>
      <c r="M59" s="8">
        <v>51907200</v>
      </c>
      <c r="N59" s="8">
        <f t="shared" si="44"/>
        <v>38930400</v>
      </c>
      <c r="O59" s="8"/>
      <c r="P59" s="8"/>
      <c r="Q59" s="8">
        <v>0</v>
      </c>
      <c r="R59" s="8">
        <f t="shared" si="53"/>
        <v>0</v>
      </c>
      <c r="S59" s="8">
        <f t="shared" si="52"/>
        <v>25953600</v>
      </c>
      <c r="T59" s="4">
        <v>12976800</v>
      </c>
      <c r="U59" s="8">
        <f t="shared" si="47"/>
        <v>12976800</v>
      </c>
      <c r="V59" s="90"/>
      <c r="W59" s="90"/>
      <c r="X59" s="4">
        <v>4217460</v>
      </c>
      <c r="Y59" s="4">
        <v>4217460</v>
      </c>
      <c r="Z59" s="8">
        <f t="shared" si="54"/>
        <v>12976800</v>
      </c>
      <c r="AA59" s="4">
        <f t="shared" si="49"/>
        <v>3373968</v>
      </c>
      <c r="AB59" s="8">
        <f t="shared" si="50"/>
        <v>2530476</v>
      </c>
      <c r="AC59" s="4">
        <f t="shared" si="51"/>
        <v>1686984</v>
      </c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</row>
    <row r="60" spans="1:61" s="37" customFormat="1" ht="27.6" customHeight="1" x14ac:dyDescent="0.2">
      <c r="A60" s="9">
        <v>52</v>
      </c>
      <c r="B60" s="58" t="s">
        <v>325</v>
      </c>
      <c r="C60" s="9" t="s">
        <v>187</v>
      </c>
      <c r="D60" s="59">
        <v>2779000</v>
      </c>
      <c r="E60" s="9"/>
      <c r="F60" s="9"/>
      <c r="G60" s="62"/>
      <c r="H60" s="54">
        <v>6.5</v>
      </c>
      <c r="I60" s="34"/>
      <c r="J60" s="34"/>
      <c r="K60" s="34">
        <v>2779000</v>
      </c>
      <c r="L60" s="8">
        <v>2779000</v>
      </c>
      <c r="M60" s="8">
        <v>2223200</v>
      </c>
      <c r="N60" s="8">
        <f t="shared" si="44"/>
        <v>1667400</v>
      </c>
      <c r="O60" s="8"/>
      <c r="P60" s="8"/>
      <c r="Q60" s="8">
        <v>0</v>
      </c>
      <c r="R60" s="8">
        <f t="shared" si="53"/>
        <v>0</v>
      </c>
      <c r="S60" s="8">
        <f t="shared" si="52"/>
        <v>1111600</v>
      </c>
      <c r="T60" s="4">
        <v>555800</v>
      </c>
      <c r="U60" s="8">
        <f t="shared" si="47"/>
        <v>555800</v>
      </c>
      <c r="V60" s="90"/>
      <c r="W60" s="90"/>
      <c r="X60" s="4">
        <v>180635</v>
      </c>
      <c r="Y60" s="4">
        <v>180635</v>
      </c>
      <c r="Z60" s="8">
        <f t="shared" si="54"/>
        <v>555800</v>
      </c>
      <c r="AA60" s="4">
        <f t="shared" si="49"/>
        <v>144508</v>
      </c>
      <c r="AB60" s="8">
        <f t="shared" si="50"/>
        <v>108381</v>
      </c>
      <c r="AC60" s="4">
        <f t="shared" si="51"/>
        <v>72254</v>
      </c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</row>
    <row r="61" spans="1:61" s="37" customFormat="1" ht="27.6" customHeight="1" x14ac:dyDescent="0.2">
      <c r="A61" s="9">
        <v>53</v>
      </c>
      <c r="B61" s="58" t="s">
        <v>326</v>
      </c>
      <c r="C61" s="9" t="s">
        <v>187</v>
      </c>
      <c r="D61" s="59">
        <v>100961000</v>
      </c>
      <c r="E61" s="9"/>
      <c r="F61" s="9"/>
      <c r="G61" s="62"/>
      <c r="H61" s="54">
        <v>6.5</v>
      </c>
      <c r="I61" s="34"/>
      <c r="J61" s="34"/>
      <c r="K61" s="34">
        <v>100961000</v>
      </c>
      <c r="L61" s="8">
        <v>100961000</v>
      </c>
      <c r="M61" s="8">
        <v>80768800</v>
      </c>
      <c r="N61" s="8">
        <f t="shared" si="44"/>
        <v>60576600</v>
      </c>
      <c r="O61" s="8"/>
      <c r="P61" s="8"/>
      <c r="Q61" s="8">
        <v>0</v>
      </c>
      <c r="R61" s="8">
        <f t="shared" si="53"/>
        <v>0</v>
      </c>
      <c r="S61" s="8">
        <f t="shared" si="52"/>
        <v>40384400</v>
      </c>
      <c r="T61" s="4">
        <v>20192200</v>
      </c>
      <c r="U61" s="8">
        <f t="shared" si="47"/>
        <v>20192200</v>
      </c>
      <c r="V61" s="90"/>
      <c r="W61" s="90"/>
      <c r="X61" s="4">
        <v>6562465</v>
      </c>
      <c r="Y61" s="4">
        <v>6562465</v>
      </c>
      <c r="Z61" s="8">
        <f t="shared" si="54"/>
        <v>20192200</v>
      </c>
      <c r="AA61" s="4">
        <f t="shared" si="49"/>
        <v>5249972</v>
      </c>
      <c r="AB61" s="8">
        <f t="shared" si="50"/>
        <v>3937479</v>
      </c>
      <c r="AC61" s="4">
        <f t="shared" si="51"/>
        <v>2624986</v>
      </c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</row>
    <row r="62" spans="1:61" s="37" customFormat="1" ht="27.6" customHeight="1" x14ac:dyDescent="0.2">
      <c r="A62" s="9">
        <v>54</v>
      </c>
      <c r="B62" s="58" t="s">
        <v>327</v>
      </c>
      <c r="C62" s="9" t="s">
        <v>187</v>
      </c>
      <c r="D62" s="59">
        <v>70407000</v>
      </c>
      <c r="E62" s="9"/>
      <c r="F62" s="9"/>
      <c r="G62" s="62"/>
      <c r="H62" s="54">
        <v>6.5</v>
      </c>
      <c r="I62" s="34"/>
      <c r="J62" s="34"/>
      <c r="K62" s="34">
        <v>70407000</v>
      </c>
      <c r="L62" s="8">
        <v>70407000</v>
      </c>
      <c r="M62" s="8">
        <v>56325600</v>
      </c>
      <c r="N62" s="8">
        <f t="shared" si="44"/>
        <v>42244200</v>
      </c>
      <c r="O62" s="8"/>
      <c r="P62" s="8"/>
      <c r="Q62" s="8">
        <v>0</v>
      </c>
      <c r="R62" s="8">
        <f t="shared" si="53"/>
        <v>0</v>
      </c>
      <c r="S62" s="8">
        <f t="shared" si="52"/>
        <v>28162800</v>
      </c>
      <c r="T62" s="4">
        <v>14081400</v>
      </c>
      <c r="U62" s="8">
        <f t="shared" si="47"/>
        <v>14081400</v>
      </c>
      <c r="V62" s="90"/>
      <c r="W62" s="90"/>
      <c r="X62" s="4">
        <v>7576455</v>
      </c>
      <c r="Y62" s="4">
        <v>7576455</v>
      </c>
      <c r="Z62" s="8">
        <f t="shared" si="54"/>
        <v>14081400</v>
      </c>
      <c r="AA62" s="4">
        <f t="shared" si="49"/>
        <v>3661164</v>
      </c>
      <c r="AB62" s="8">
        <f t="shared" si="50"/>
        <v>2745873</v>
      </c>
      <c r="AC62" s="4">
        <f t="shared" si="51"/>
        <v>1830582</v>
      </c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</row>
    <row r="63" spans="1:61" s="37" customFormat="1" ht="27.6" customHeight="1" x14ac:dyDescent="0.2">
      <c r="A63" s="9">
        <v>55</v>
      </c>
      <c r="B63" s="58" t="s">
        <v>328</v>
      </c>
      <c r="C63" s="9" t="s">
        <v>187</v>
      </c>
      <c r="D63" s="59">
        <v>106372000</v>
      </c>
      <c r="E63" s="9"/>
      <c r="F63" s="9"/>
      <c r="G63" s="62"/>
      <c r="H63" s="54">
        <v>6.5</v>
      </c>
      <c r="I63" s="34"/>
      <c r="J63" s="34"/>
      <c r="K63" s="34">
        <v>106372000</v>
      </c>
      <c r="L63" s="8">
        <v>106372000</v>
      </c>
      <c r="M63" s="8">
        <v>85097600</v>
      </c>
      <c r="N63" s="8">
        <f t="shared" si="44"/>
        <v>63823200</v>
      </c>
      <c r="O63" s="8"/>
      <c r="P63" s="8"/>
      <c r="Q63" s="8">
        <v>0</v>
      </c>
      <c r="R63" s="8">
        <f t="shared" si="53"/>
        <v>0</v>
      </c>
      <c r="S63" s="8">
        <f t="shared" si="52"/>
        <v>42548800</v>
      </c>
      <c r="T63" s="4">
        <v>21274400</v>
      </c>
      <c r="U63" s="8">
        <f t="shared" si="47"/>
        <v>21274400</v>
      </c>
      <c r="V63" s="90"/>
      <c r="W63" s="90"/>
      <c r="X63" s="4">
        <v>6914180</v>
      </c>
      <c r="Y63" s="4">
        <v>6914180</v>
      </c>
      <c r="Z63" s="8">
        <f t="shared" si="54"/>
        <v>21274400</v>
      </c>
      <c r="AA63" s="4">
        <f t="shared" si="49"/>
        <v>5531344</v>
      </c>
      <c r="AB63" s="8">
        <f t="shared" si="50"/>
        <v>4148508</v>
      </c>
      <c r="AC63" s="4">
        <f t="shared" si="51"/>
        <v>2765672</v>
      </c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</row>
    <row r="64" spans="1:61" s="95" customFormat="1" ht="27.6" customHeight="1" x14ac:dyDescent="0.2">
      <c r="A64" s="9">
        <v>56</v>
      </c>
      <c r="B64" s="58" t="s">
        <v>349</v>
      </c>
      <c r="C64" s="9" t="s">
        <v>187</v>
      </c>
      <c r="D64" s="59">
        <v>9007000</v>
      </c>
      <c r="E64" s="9"/>
      <c r="F64" s="9"/>
      <c r="G64" s="62"/>
      <c r="H64" s="54">
        <v>6.5</v>
      </c>
      <c r="I64" s="34"/>
      <c r="J64" s="34"/>
      <c r="K64" s="34">
        <v>9007000</v>
      </c>
      <c r="L64" s="8">
        <f t="shared" ref="L64:L76" si="55">D64</f>
        <v>9007000</v>
      </c>
      <c r="M64" s="8">
        <v>7205600</v>
      </c>
      <c r="N64" s="8">
        <f t="shared" si="44"/>
        <v>5404200</v>
      </c>
      <c r="O64" s="8"/>
      <c r="P64" s="8"/>
      <c r="Q64" s="8">
        <v>0</v>
      </c>
      <c r="R64" s="8">
        <f t="shared" si="53"/>
        <v>0</v>
      </c>
      <c r="S64" s="8">
        <f t="shared" si="52"/>
        <v>3602800</v>
      </c>
      <c r="T64" s="4">
        <v>1801400</v>
      </c>
      <c r="U64" s="8">
        <f t="shared" si="47"/>
        <v>1801400</v>
      </c>
      <c r="V64" s="90"/>
      <c r="W64" s="90"/>
      <c r="X64" s="4">
        <v>585455</v>
      </c>
      <c r="Y64" s="4">
        <v>585455</v>
      </c>
      <c r="Z64" s="8">
        <f t="shared" si="54"/>
        <v>1801400</v>
      </c>
      <c r="AA64" s="4">
        <f t="shared" si="49"/>
        <v>468364</v>
      </c>
      <c r="AB64" s="8">
        <f t="shared" si="50"/>
        <v>351273</v>
      </c>
      <c r="AC64" s="4">
        <f t="shared" si="51"/>
        <v>234182</v>
      </c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</row>
    <row r="65" spans="1:61" s="95" customFormat="1" ht="27.6" customHeight="1" x14ac:dyDescent="0.2">
      <c r="A65" s="9">
        <v>57</v>
      </c>
      <c r="B65" s="58" t="s">
        <v>354</v>
      </c>
      <c r="C65" s="9" t="s">
        <v>187</v>
      </c>
      <c r="D65" s="59">
        <v>23914000</v>
      </c>
      <c r="E65" s="9"/>
      <c r="F65" s="9"/>
      <c r="G65" s="62"/>
      <c r="H65" s="54">
        <v>6.5</v>
      </c>
      <c r="I65" s="34"/>
      <c r="J65" s="34"/>
      <c r="K65" s="34">
        <v>23914000</v>
      </c>
      <c r="L65" s="8">
        <f t="shared" si="55"/>
        <v>23914000</v>
      </c>
      <c r="M65" s="8">
        <v>19131200</v>
      </c>
      <c r="N65" s="8">
        <f t="shared" si="44"/>
        <v>14348400</v>
      </c>
      <c r="O65" s="8"/>
      <c r="P65" s="8"/>
      <c r="Q65" s="8">
        <v>0</v>
      </c>
      <c r="R65" s="8">
        <f t="shared" si="53"/>
        <v>0</v>
      </c>
      <c r="S65" s="8">
        <f t="shared" si="52"/>
        <v>9565600</v>
      </c>
      <c r="T65" s="4">
        <v>4782800</v>
      </c>
      <c r="U65" s="8">
        <f t="shared" si="47"/>
        <v>4782800</v>
      </c>
      <c r="V65" s="90"/>
      <c r="W65" s="90"/>
      <c r="X65" s="4">
        <v>1554410</v>
      </c>
      <c r="Y65" s="4">
        <v>1554410</v>
      </c>
      <c r="Z65" s="8">
        <f t="shared" si="54"/>
        <v>4782800</v>
      </c>
      <c r="AA65" s="4">
        <f t="shared" si="49"/>
        <v>1243528</v>
      </c>
      <c r="AB65" s="8">
        <f t="shared" si="50"/>
        <v>932646</v>
      </c>
      <c r="AC65" s="4">
        <f t="shared" si="51"/>
        <v>621764</v>
      </c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</row>
    <row r="66" spans="1:61" s="95" customFormat="1" ht="27.6" customHeight="1" x14ac:dyDescent="0.2">
      <c r="A66" s="9">
        <v>58</v>
      </c>
      <c r="B66" s="58" t="s">
        <v>363</v>
      </c>
      <c r="C66" s="9" t="s">
        <v>187</v>
      </c>
      <c r="D66" s="59">
        <v>87360000</v>
      </c>
      <c r="E66" s="9"/>
      <c r="F66" s="9"/>
      <c r="G66" s="62"/>
      <c r="H66" s="54">
        <v>6.5</v>
      </c>
      <c r="I66" s="34"/>
      <c r="J66" s="34"/>
      <c r="K66" s="34">
        <v>87360000</v>
      </c>
      <c r="L66" s="8">
        <f t="shared" si="55"/>
        <v>87360000</v>
      </c>
      <c r="M66" s="8">
        <v>69888000</v>
      </c>
      <c r="N66" s="8">
        <f t="shared" si="44"/>
        <v>52416000</v>
      </c>
      <c r="O66" s="8"/>
      <c r="P66" s="8"/>
      <c r="Q66" s="8">
        <v>0</v>
      </c>
      <c r="R66" s="8">
        <f t="shared" si="53"/>
        <v>0</v>
      </c>
      <c r="S66" s="8">
        <f t="shared" si="52"/>
        <v>34944000</v>
      </c>
      <c r="T66" s="4">
        <v>17472000</v>
      </c>
      <c r="U66" s="8">
        <f t="shared" si="47"/>
        <v>17472000</v>
      </c>
      <c r="V66" s="90"/>
      <c r="W66" s="90"/>
      <c r="X66" s="4">
        <v>5678400</v>
      </c>
      <c r="Y66" s="4">
        <v>5678400</v>
      </c>
      <c r="Z66" s="8">
        <f t="shared" si="54"/>
        <v>17472000</v>
      </c>
      <c r="AA66" s="4">
        <f t="shared" si="49"/>
        <v>4542720</v>
      </c>
      <c r="AB66" s="8">
        <f t="shared" si="50"/>
        <v>3407040</v>
      </c>
      <c r="AC66" s="4">
        <f t="shared" si="51"/>
        <v>2271360</v>
      </c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</row>
    <row r="67" spans="1:61" s="95" customFormat="1" ht="27.6" customHeight="1" x14ac:dyDescent="0.2">
      <c r="A67" s="9">
        <v>59</v>
      </c>
      <c r="B67" s="58" t="s">
        <v>364</v>
      </c>
      <c r="C67" s="9" t="s">
        <v>187</v>
      </c>
      <c r="D67" s="59">
        <v>75764000</v>
      </c>
      <c r="E67" s="9"/>
      <c r="F67" s="9"/>
      <c r="G67" s="62"/>
      <c r="H67" s="54">
        <v>6.5</v>
      </c>
      <c r="I67" s="34"/>
      <c r="J67" s="34"/>
      <c r="K67" s="34">
        <v>75764000</v>
      </c>
      <c r="L67" s="8">
        <f t="shared" si="55"/>
        <v>75764000</v>
      </c>
      <c r="M67" s="8">
        <v>60611200</v>
      </c>
      <c r="N67" s="8">
        <f t="shared" si="44"/>
        <v>45458400</v>
      </c>
      <c r="O67" s="8"/>
      <c r="P67" s="8"/>
      <c r="Q67" s="8">
        <v>0</v>
      </c>
      <c r="R67" s="8">
        <f t="shared" si="53"/>
        <v>0</v>
      </c>
      <c r="S67" s="8">
        <f t="shared" si="52"/>
        <v>30305600</v>
      </c>
      <c r="T67" s="4">
        <v>15152800</v>
      </c>
      <c r="U67" s="8">
        <f t="shared" si="47"/>
        <v>15152800</v>
      </c>
      <c r="V67" s="90"/>
      <c r="W67" s="90"/>
      <c r="X67" s="4">
        <v>4924660</v>
      </c>
      <c r="Y67" s="4">
        <v>4924660</v>
      </c>
      <c r="Z67" s="8">
        <f t="shared" si="54"/>
        <v>15152800</v>
      </c>
      <c r="AA67" s="4">
        <f t="shared" si="49"/>
        <v>3939728</v>
      </c>
      <c r="AB67" s="8">
        <f t="shared" si="50"/>
        <v>2954796</v>
      </c>
      <c r="AC67" s="4">
        <f t="shared" si="51"/>
        <v>1969864</v>
      </c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</row>
    <row r="68" spans="1:61" s="95" customFormat="1" ht="27.6" customHeight="1" x14ac:dyDescent="0.2">
      <c r="A68" s="9">
        <v>60</v>
      </c>
      <c r="B68" s="58" t="s">
        <v>365</v>
      </c>
      <c r="C68" s="9" t="s">
        <v>187</v>
      </c>
      <c r="D68" s="59">
        <v>44617000</v>
      </c>
      <c r="E68" s="9"/>
      <c r="F68" s="9"/>
      <c r="G68" s="62"/>
      <c r="H68" s="54">
        <v>6.5</v>
      </c>
      <c r="I68" s="34"/>
      <c r="J68" s="34"/>
      <c r="K68" s="34">
        <v>44617000</v>
      </c>
      <c r="L68" s="8">
        <f t="shared" si="55"/>
        <v>44617000</v>
      </c>
      <c r="M68" s="8">
        <v>35693600</v>
      </c>
      <c r="N68" s="8">
        <f t="shared" si="44"/>
        <v>26770200</v>
      </c>
      <c r="O68" s="8"/>
      <c r="P68" s="8"/>
      <c r="Q68" s="8">
        <v>0</v>
      </c>
      <c r="R68" s="8">
        <f t="shared" si="53"/>
        <v>0</v>
      </c>
      <c r="S68" s="8">
        <f t="shared" si="52"/>
        <v>17846800</v>
      </c>
      <c r="T68" s="4">
        <v>8923400</v>
      </c>
      <c r="U68" s="8">
        <f t="shared" si="47"/>
        <v>8923400</v>
      </c>
      <c r="V68" s="90"/>
      <c r="W68" s="90"/>
      <c r="X68" s="4">
        <v>2900105</v>
      </c>
      <c r="Y68" s="4">
        <v>2900105</v>
      </c>
      <c r="Z68" s="8">
        <f t="shared" si="54"/>
        <v>8923400</v>
      </c>
      <c r="AA68" s="4">
        <f t="shared" si="49"/>
        <v>2320084</v>
      </c>
      <c r="AB68" s="8">
        <f t="shared" si="50"/>
        <v>1740063</v>
      </c>
      <c r="AC68" s="4">
        <f t="shared" si="51"/>
        <v>1160042</v>
      </c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</row>
    <row r="69" spans="1:61" s="95" customFormat="1" ht="27.6" customHeight="1" x14ac:dyDescent="0.2">
      <c r="A69" s="9">
        <v>61</v>
      </c>
      <c r="B69" s="58" t="s">
        <v>365</v>
      </c>
      <c r="C69" s="9" t="s">
        <v>187</v>
      </c>
      <c r="D69" s="59">
        <v>3648000</v>
      </c>
      <c r="E69" s="9"/>
      <c r="F69" s="9"/>
      <c r="G69" s="62"/>
      <c r="H69" s="54">
        <v>6.5</v>
      </c>
      <c r="I69" s="34"/>
      <c r="J69" s="34"/>
      <c r="K69" s="34">
        <v>3648000</v>
      </c>
      <c r="L69" s="8">
        <f t="shared" si="55"/>
        <v>3648000</v>
      </c>
      <c r="M69" s="8">
        <v>2918400</v>
      </c>
      <c r="N69" s="8">
        <f t="shared" si="44"/>
        <v>2188800</v>
      </c>
      <c r="O69" s="8"/>
      <c r="P69" s="8"/>
      <c r="Q69" s="8">
        <v>0</v>
      </c>
      <c r="R69" s="8">
        <f t="shared" si="53"/>
        <v>0</v>
      </c>
      <c r="S69" s="8">
        <f t="shared" si="52"/>
        <v>1459200</v>
      </c>
      <c r="T69" s="4">
        <v>729600</v>
      </c>
      <c r="U69" s="8">
        <f t="shared" si="47"/>
        <v>729600</v>
      </c>
      <c r="V69" s="90"/>
      <c r="W69" s="90"/>
      <c r="X69" s="4">
        <v>237120</v>
      </c>
      <c r="Y69" s="4">
        <v>237120</v>
      </c>
      <c r="Z69" s="8">
        <f t="shared" si="54"/>
        <v>729600</v>
      </c>
      <c r="AA69" s="4">
        <f t="shared" si="49"/>
        <v>189696</v>
      </c>
      <c r="AB69" s="8">
        <f t="shared" si="50"/>
        <v>142272</v>
      </c>
      <c r="AC69" s="4">
        <f t="shared" si="51"/>
        <v>94848</v>
      </c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</row>
    <row r="70" spans="1:61" s="95" customFormat="1" ht="27.6" customHeight="1" x14ac:dyDescent="0.2">
      <c r="A70" s="9">
        <v>62</v>
      </c>
      <c r="B70" s="58" t="s">
        <v>383</v>
      </c>
      <c r="C70" s="9" t="s">
        <v>187</v>
      </c>
      <c r="D70" s="59">
        <v>31058000</v>
      </c>
      <c r="E70" s="9"/>
      <c r="F70" s="9"/>
      <c r="G70" s="62"/>
      <c r="H70" s="54">
        <v>6.5</v>
      </c>
      <c r="I70" s="34"/>
      <c r="J70" s="34"/>
      <c r="K70" s="34">
        <v>0</v>
      </c>
      <c r="L70" s="8">
        <f t="shared" si="55"/>
        <v>31058000</v>
      </c>
      <c r="M70" s="8">
        <v>31058000</v>
      </c>
      <c r="N70" s="8">
        <f>M70-T70</f>
        <v>24846400</v>
      </c>
      <c r="O70" s="8"/>
      <c r="P70" s="8"/>
      <c r="Q70" s="8">
        <v>0</v>
      </c>
      <c r="R70" s="8">
        <f t="shared" si="53"/>
        <v>0</v>
      </c>
      <c r="S70" s="8">
        <f t="shared" si="52"/>
        <v>18634800</v>
      </c>
      <c r="T70" s="4">
        <v>6211600</v>
      </c>
      <c r="U70" s="4">
        <f>M70/5</f>
        <v>6211600</v>
      </c>
      <c r="V70" s="90"/>
      <c r="W70" s="90"/>
      <c r="X70" s="4">
        <v>1797535</v>
      </c>
      <c r="Y70" s="4">
        <v>2108770</v>
      </c>
      <c r="Z70" s="8">
        <f t="shared" si="54"/>
        <v>6211600</v>
      </c>
      <c r="AA70" s="4">
        <f t="shared" si="49"/>
        <v>2018770</v>
      </c>
      <c r="AB70" s="8">
        <f t="shared" si="50"/>
        <v>1615016</v>
      </c>
      <c r="AC70" s="4">
        <f t="shared" si="51"/>
        <v>1211262</v>
      </c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</row>
    <row r="71" spans="1:61" s="95" customFormat="1" ht="27.6" customHeight="1" x14ac:dyDescent="0.2">
      <c r="A71" s="9">
        <v>63</v>
      </c>
      <c r="B71" s="58" t="s">
        <v>384</v>
      </c>
      <c r="C71" s="9" t="s">
        <v>187</v>
      </c>
      <c r="D71" s="59">
        <v>32516000</v>
      </c>
      <c r="E71" s="9"/>
      <c r="F71" s="9"/>
      <c r="G71" s="62"/>
      <c r="H71" s="54">
        <v>6.5</v>
      </c>
      <c r="I71" s="34"/>
      <c r="J71" s="34"/>
      <c r="K71" s="34">
        <v>0</v>
      </c>
      <c r="L71" s="8">
        <f t="shared" si="55"/>
        <v>32516000</v>
      </c>
      <c r="M71" s="8">
        <f t="shared" ref="M71:M81" si="56">L71-R71</f>
        <v>32516000</v>
      </c>
      <c r="N71" s="8">
        <f t="shared" ref="N71:N87" si="57">M71-T71</f>
        <v>26012800</v>
      </c>
      <c r="O71" s="8"/>
      <c r="P71" s="8"/>
      <c r="Q71" s="8">
        <v>0</v>
      </c>
      <c r="R71" s="8">
        <f t="shared" si="53"/>
        <v>0</v>
      </c>
      <c r="S71" s="8">
        <f t="shared" si="52"/>
        <v>19509600</v>
      </c>
      <c r="T71" s="4">
        <v>6503200</v>
      </c>
      <c r="U71" s="4">
        <f t="shared" ref="U71:U81" si="58">M71/5</f>
        <v>6503200</v>
      </c>
      <c r="V71" s="90"/>
      <c r="W71" s="90"/>
      <c r="X71" s="4">
        <v>1841386</v>
      </c>
      <c r="Y71" s="4">
        <v>2113540</v>
      </c>
      <c r="Z71" s="8">
        <f t="shared" si="54"/>
        <v>6503200</v>
      </c>
      <c r="AA71" s="4">
        <f t="shared" ref="AA71:AA81" si="59">M71*6.5/100</f>
        <v>2113540</v>
      </c>
      <c r="AB71" s="8">
        <f t="shared" si="50"/>
        <v>1690832</v>
      </c>
      <c r="AC71" s="4">
        <f t="shared" si="51"/>
        <v>1268124</v>
      </c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</row>
    <row r="72" spans="1:61" s="95" customFormat="1" ht="27.6" customHeight="1" x14ac:dyDescent="0.2">
      <c r="A72" s="9">
        <v>64</v>
      </c>
      <c r="B72" s="58" t="s">
        <v>387</v>
      </c>
      <c r="C72" s="9" t="s">
        <v>187</v>
      </c>
      <c r="D72" s="59">
        <v>2282000</v>
      </c>
      <c r="E72" s="9"/>
      <c r="F72" s="9"/>
      <c r="G72" s="62"/>
      <c r="H72" s="54">
        <v>6.5</v>
      </c>
      <c r="I72" s="34"/>
      <c r="J72" s="34"/>
      <c r="K72" s="34">
        <v>0</v>
      </c>
      <c r="L72" s="8">
        <f t="shared" si="55"/>
        <v>2282000</v>
      </c>
      <c r="M72" s="8">
        <f t="shared" si="56"/>
        <v>2282000</v>
      </c>
      <c r="N72" s="8">
        <f t="shared" si="57"/>
        <v>1825600</v>
      </c>
      <c r="O72" s="8"/>
      <c r="P72" s="8"/>
      <c r="Q72" s="8">
        <v>0</v>
      </c>
      <c r="R72" s="8">
        <f t="shared" si="53"/>
        <v>0</v>
      </c>
      <c r="S72" s="8">
        <f t="shared" si="52"/>
        <v>1369200</v>
      </c>
      <c r="T72" s="4">
        <v>456400</v>
      </c>
      <c r="U72" s="4">
        <f t="shared" si="58"/>
        <v>456400</v>
      </c>
      <c r="V72" s="90"/>
      <c r="W72" s="90"/>
      <c r="X72" s="4">
        <v>108504</v>
      </c>
      <c r="Y72" s="4">
        <v>148330</v>
      </c>
      <c r="Z72" s="8">
        <f t="shared" si="54"/>
        <v>456400</v>
      </c>
      <c r="AA72" s="4">
        <f t="shared" si="59"/>
        <v>148330</v>
      </c>
      <c r="AB72" s="8">
        <f t="shared" si="50"/>
        <v>118664</v>
      </c>
      <c r="AC72" s="4">
        <f t="shared" si="51"/>
        <v>88998</v>
      </c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</row>
    <row r="73" spans="1:61" s="95" customFormat="1" ht="27.6" customHeight="1" x14ac:dyDescent="0.2">
      <c r="A73" s="9">
        <v>65</v>
      </c>
      <c r="B73" s="58" t="s">
        <v>395</v>
      </c>
      <c r="C73" s="9" t="s">
        <v>187</v>
      </c>
      <c r="D73" s="59">
        <v>46455000</v>
      </c>
      <c r="E73" s="9"/>
      <c r="F73" s="9"/>
      <c r="G73" s="62"/>
      <c r="H73" s="54">
        <v>6.5</v>
      </c>
      <c r="I73" s="34"/>
      <c r="J73" s="34"/>
      <c r="K73" s="34">
        <v>0</v>
      </c>
      <c r="L73" s="8">
        <f t="shared" si="55"/>
        <v>46455000</v>
      </c>
      <c r="M73" s="8">
        <f t="shared" si="56"/>
        <v>46455000</v>
      </c>
      <c r="N73" s="8">
        <f t="shared" si="57"/>
        <v>37164000</v>
      </c>
      <c r="O73" s="8"/>
      <c r="P73" s="8"/>
      <c r="Q73" s="8">
        <v>0</v>
      </c>
      <c r="R73" s="8">
        <f t="shared" si="53"/>
        <v>0</v>
      </c>
      <c r="S73" s="8">
        <f t="shared" si="52"/>
        <v>27873000</v>
      </c>
      <c r="T73" s="4">
        <v>9291000</v>
      </c>
      <c r="U73" s="4">
        <f t="shared" si="58"/>
        <v>9291000</v>
      </c>
      <c r="V73" s="90"/>
      <c r="W73" s="90"/>
      <c r="X73" s="4">
        <v>1869655</v>
      </c>
      <c r="Y73" s="4">
        <v>3019575</v>
      </c>
      <c r="Z73" s="8">
        <f t="shared" si="54"/>
        <v>9291000</v>
      </c>
      <c r="AA73" s="4">
        <f t="shared" si="59"/>
        <v>3019575</v>
      </c>
      <c r="AB73" s="8">
        <f t="shared" si="50"/>
        <v>2415660</v>
      </c>
      <c r="AC73" s="4">
        <f t="shared" si="51"/>
        <v>1811745</v>
      </c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</row>
    <row r="74" spans="1:61" s="95" customFormat="1" ht="27.6" customHeight="1" x14ac:dyDescent="0.2">
      <c r="A74" s="9">
        <v>66</v>
      </c>
      <c r="B74" s="58" t="s">
        <v>401</v>
      </c>
      <c r="C74" s="9" t="s">
        <v>187</v>
      </c>
      <c r="D74" s="59">
        <v>16555000</v>
      </c>
      <c r="E74" s="9"/>
      <c r="F74" s="9"/>
      <c r="G74" s="62"/>
      <c r="H74" s="54">
        <v>6.5</v>
      </c>
      <c r="I74" s="34"/>
      <c r="J74" s="34"/>
      <c r="K74" s="34">
        <v>0</v>
      </c>
      <c r="L74" s="8">
        <f t="shared" si="55"/>
        <v>16555000</v>
      </c>
      <c r="M74" s="8">
        <f t="shared" si="56"/>
        <v>16555000</v>
      </c>
      <c r="N74" s="8">
        <f t="shared" si="57"/>
        <v>13244000</v>
      </c>
      <c r="O74" s="8"/>
      <c r="P74" s="8"/>
      <c r="Q74" s="8">
        <v>0</v>
      </c>
      <c r="R74" s="8">
        <f t="shared" si="53"/>
        <v>0</v>
      </c>
      <c r="S74" s="8">
        <f t="shared" si="52"/>
        <v>9933000</v>
      </c>
      <c r="T74" s="4">
        <v>3311000</v>
      </c>
      <c r="U74" s="4">
        <f t="shared" si="58"/>
        <v>3311000</v>
      </c>
      <c r="V74" s="90"/>
      <c r="W74" s="90"/>
      <c r="X74" s="4">
        <v>436326</v>
      </c>
      <c r="Y74" s="4">
        <v>1076075</v>
      </c>
      <c r="Z74" s="8">
        <f t="shared" si="54"/>
        <v>3311000</v>
      </c>
      <c r="AA74" s="4">
        <f t="shared" si="59"/>
        <v>1076075</v>
      </c>
      <c r="AB74" s="8">
        <f t="shared" si="50"/>
        <v>860860</v>
      </c>
      <c r="AC74" s="4">
        <f t="shared" si="51"/>
        <v>645645</v>
      </c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</row>
    <row r="75" spans="1:61" s="95" customFormat="1" ht="27.6" customHeight="1" x14ac:dyDescent="0.2">
      <c r="A75" s="9">
        <v>67</v>
      </c>
      <c r="B75" s="58" t="s">
        <v>412</v>
      </c>
      <c r="C75" s="9" t="s">
        <v>187</v>
      </c>
      <c r="D75" s="59">
        <v>30686000</v>
      </c>
      <c r="E75" s="9"/>
      <c r="F75" s="9"/>
      <c r="G75" s="62"/>
      <c r="H75" s="54">
        <v>6.5</v>
      </c>
      <c r="I75" s="34"/>
      <c r="J75" s="34"/>
      <c r="K75" s="34">
        <v>0</v>
      </c>
      <c r="L75" s="8">
        <f t="shared" si="55"/>
        <v>30686000</v>
      </c>
      <c r="M75" s="8">
        <f t="shared" si="56"/>
        <v>30686000</v>
      </c>
      <c r="N75" s="8">
        <f t="shared" si="57"/>
        <v>24548800</v>
      </c>
      <c r="O75" s="8"/>
      <c r="P75" s="8"/>
      <c r="Q75" s="8">
        <v>0</v>
      </c>
      <c r="R75" s="8">
        <f t="shared" si="53"/>
        <v>0</v>
      </c>
      <c r="S75" s="8">
        <f t="shared" si="52"/>
        <v>18411600</v>
      </c>
      <c r="T75" s="4">
        <v>6137200</v>
      </c>
      <c r="U75" s="4">
        <f t="shared" si="58"/>
        <v>6137200</v>
      </c>
      <c r="V75" s="90"/>
      <c r="W75" s="90"/>
      <c r="X75" s="4">
        <v>398918</v>
      </c>
      <c r="Y75" s="4">
        <v>1994590</v>
      </c>
      <c r="Z75" s="8">
        <f t="shared" si="54"/>
        <v>6137200</v>
      </c>
      <c r="AA75" s="4">
        <f t="shared" si="59"/>
        <v>1994590</v>
      </c>
      <c r="AB75" s="8">
        <f t="shared" si="50"/>
        <v>1595672</v>
      </c>
      <c r="AC75" s="4">
        <f t="shared" si="51"/>
        <v>1196754</v>
      </c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</row>
    <row r="76" spans="1:61" s="95" customFormat="1" ht="27.6" customHeight="1" x14ac:dyDescent="0.2">
      <c r="A76" s="9">
        <v>68</v>
      </c>
      <c r="B76" s="58" t="s">
        <v>416</v>
      </c>
      <c r="C76" s="9" t="s">
        <v>187</v>
      </c>
      <c r="D76" s="59">
        <v>37681000</v>
      </c>
      <c r="E76" s="9"/>
      <c r="F76" s="9"/>
      <c r="G76" s="62"/>
      <c r="H76" s="54">
        <v>6.5</v>
      </c>
      <c r="I76" s="34"/>
      <c r="J76" s="34"/>
      <c r="K76" s="34">
        <v>0</v>
      </c>
      <c r="L76" s="8">
        <f t="shared" si="55"/>
        <v>37681000</v>
      </c>
      <c r="M76" s="8">
        <f t="shared" si="56"/>
        <v>37681000</v>
      </c>
      <c r="N76" s="8">
        <f t="shared" si="57"/>
        <v>30144800</v>
      </c>
      <c r="O76" s="8"/>
      <c r="P76" s="8"/>
      <c r="Q76" s="8">
        <v>0</v>
      </c>
      <c r="R76" s="8">
        <f t="shared" si="53"/>
        <v>0</v>
      </c>
      <c r="S76" s="8">
        <f t="shared" si="52"/>
        <v>22608600</v>
      </c>
      <c r="T76" s="4">
        <v>7536200</v>
      </c>
      <c r="U76" s="4">
        <f t="shared" si="58"/>
        <v>7536200</v>
      </c>
      <c r="V76" s="90"/>
      <c r="W76" s="90"/>
      <c r="X76" s="4">
        <v>429460</v>
      </c>
      <c r="Y76" s="4">
        <v>2449265</v>
      </c>
      <c r="Z76" s="8">
        <f t="shared" si="54"/>
        <v>7536200</v>
      </c>
      <c r="AA76" s="4">
        <f t="shared" si="59"/>
        <v>2449265</v>
      </c>
      <c r="AB76" s="8">
        <f t="shared" si="50"/>
        <v>1959412</v>
      </c>
      <c r="AC76" s="4">
        <f t="shared" si="51"/>
        <v>1469559</v>
      </c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</row>
    <row r="77" spans="1:61" s="95" customFormat="1" ht="27.6" customHeight="1" x14ac:dyDescent="0.2">
      <c r="A77" s="9">
        <v>69</v>
      </c>
      <c r="B77" s="58" t="s">
        <v>449</v>
      </c>
      <c r="C77" s="9" t="s">
        <v>187</v>
      </c>
      <c r="D77" s="59">
        <v>32670000</v>
      </c>
      <c r="E77" s="9"/>
      <c r="F77" s="9"/>
      <c r="G77" s="62"/>
      <c r="H77" s="54">
        <v>6.5</v>
      </c>
      <c r="I77" s="34"/>
      <c r="J77" s="34"/>
      <c r="K77" s="34">
        <v>0</v>
      </c>
      <c r="L77" s="8">
        <v>32670000</v>
      </c>
      <c r="M77" s="8">
        <f t="shared" si="56"/>
        <v>32670000</v>
      </c>
      <c r="N77" s="8">
        <f t="shared" si="57"/>
        <v>26136000</v>
      </c>
      <c r="O77" s="8"/>
      <c r="P77" s="8"/>
      <c r="Q77" s="8">
        <v>0</v>
      </c>
      <c r="R77" s="8">
        <v>0</v>
      </c>
      <c r="S77" s="8">
        <f t="shared" si="52"/>
        <v>19602000</v>
      </c>
      <c r="T77" s="4">
        <v>6534000</v>
      </c>
      <c r="U77" s="4">
        <f t="shared" si="58"/>
        <v>6534000</v>
      </c>
      <c r="V77" s="90"/>
      <c r="W77" s="90"/>
      <c r="X77" s="4">
        <v>250172</v>
      </c>
      <c r="Y77" s="4">
        <v>2123550</v>
      </c>
      <c r="Z77" s="8">
        <f t="shared" si="54"/>
        <v>6534000</v>
      </c>
      <c r="AA77" s="4">
        <f t="shared" si="59"/>
        <v>2123550</v>
      </c>
      <c r="AB77" s="8">
        <f t="shared" si="50"/>
        <v>1698840</v>
      </c>
      <c r="AC77" s="4">
        <f t="shared" si="51"/>
        <v>1274130</v>
      </c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</row>
    <row r="78" spans="1:61" s="95" customFormat="1" ht="27.6" customHeight="1" x14ac:dyDescent="0.2">
      <c r="A78" s="9">
        <v>70</v>
      </c>
      <c r="B78" s="58" t="s">
        <v>457</v>
      </c>
      <c r="C78" s="9" t="s">
        <v>187</v>
      </c>
      <c r="D78" s="59">
        <v>11286000</v>
      </c>
      <c r="E78" s="9"/>
      <c r="F78" s="9"/>
      <c r="G78" s="62"/>
      <c r="H78" s="54">
        <v>6.5</v>
      </c>
      <c r="I78" s="34"/>
      <c r="J78" s="34"/>
      <c r="K78" s="34">
        <v>0</v>
      </c>
      <c r="L78" s="8">
        <v>11286000</v>
      </c>
      <c r="M78" s="8">
        <f t="shared" si="56"/>
        <v>11286000</v>
      </c>
      <c r="N78" s="8">
        <f t="shared" si="57"/>
        <v>9028800</v>
      </c>
      <c r="O78" s="8"/>
      <c r="P78" s="8"/>
      <c r="Q78" s="8">
        <v>0</v>
      </c>
      <c r="R78" s="8">
        <v>0</v>
      </c>
      <c r="S78" s="8">
        <f t="shared" si="52"/>
        <v>6771600</v>
      </c>
      <c r="T78" s="4">
        <v>2257200</v>
      </c>
      <c r="U78" s="4">
        <f t="shared" si="58"/>
        <v>2257200</v>
      </c>
      <c r="V78" s="90"/>
      <c r="W78" s="90"/>
      <c r="X78" s="4">
        <v>22108</v>
      </c>
      <c r="Y78" s="4">
        <v>733590</v>
      </c>
      <c r="Z78" s="8">
        <f t="shared" si="54"/>
        <v>2257200</v>
      </c>
      <c r="AA78" s="4">
        <f t="shared" si="59"/>
        <v>733590</v>
      </c>
      <c r="AB78" s="8">
        <f t="shared" si="50"/>
        <v>586872</v>
      </c>
      <c r="AC78" s="4">
        <f t="shared" si="51"/>
        <v>440154</v>
      </c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</row>
    <row r="79" spans="1:61" s="95" customFormat="1" ht="27.6" customHeight="1" x14ac:dyDescent="0.2">
      <c r="A79" s="9">
        <v>71</v>
      </c>
      <c r="B79" s="58" t="s">
        <v>462</v>
      </c>
      <c r="C79" s="9" t="s">
        <v>187</v>
      </c>
      <c r="D79" s="59">
        <v>15330000</v>
      </c>
      <c r="E79" s="9"/>
      <c r="F79" s="9"/>
      <c r="G79" s="62"/>
      <c r="H79" s="54">
        <v>6.5</v>
      </c>
      <c r="I79" s="34"/>
      <c r="J79" s="34"/>
      <c r="K79" s="34">
        <v>0</v>
      </c>
      <c r="L79" s="8">
        <v>15330000</v>
      </c>
      <c r="M79" s="8">
        <f t="shared" si="56"/>
        <v>15330000</v>
      </c>
      <c r="N79" s="8">
        <f t="shared" si="57"/>
        <v>12264000</v>
      </c>
      <c r="O79" s="8"/>
      <c r="P79" s="8"/>
      <c r="Q79" s="8">
        <v>0</v>
      </c>
      <c r="R79" s="8">
        <v>0</v>
      </c>
      <c r="S79" s="8">
        <f t="shared" si="52"/>
        <v>9198000</v>
      </c>
      <c r="T79" s="4">
        <v>3066000</v>
      </c>
      <c r="U79" s="4">
        <f t="shared" si="58"/>
        <v>3066000</v>
      </c>
      <c r="V79" s="90"/>
      <c r="W79" s="90"/>
      <c r="X79" s="4">
        <v>2730</v>
      </c>
      <c r="Y79" s="4">
        <v>996450</v>
      </c>
      <c r="Z79" s="8">
        <f t="shared" si="54"/>
        <v>3066000</v>
      </c>
      <c r="AA79" s="4">
        <f t="shared" si="59"/>
        <v>996450</v>
      </c>
      <c r="AB79" s="8">
        <f t="shared" si="50"/>
        <v>797160</v>
      </c>
      <c r="AC79" s="4">
        <f t="shared" si="51"/>
        <v>597870</v>
      </c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</row>
    <row r="80" spans="1:61" s="95" customFormat="1" ht="27.6" customHeight="1" x14ac:dyDescent="0.2">
      <c r="A80" s="9">
        <v>72</v>
      </c>
      <c r="B80" s="58" t="s">
        <v>462</v>
      </c>
      <c r="C80" s="9" t="s">
        <v>187</v>
      </c>
      <c r="D80" s="59">
        <v>35866000</v>
      </c>
      <c r="E80" s="9"/>
      <c r="F80" s="9"/>
      <c r="G80" s="62"/>
      <c r="H80" s="54">
        <v>6.5</v>
      </c>
      <c r="I80" s="34"/>
      <c r="J80" s="34"/>
      <c r="K80" s="34">
        <v>0</v>
      </c>
      <c r="L80" s="8">
        <v>35866000</v>
      </c>
      <c r="M80" s="8">
        <f t="shared" si="56"/>
        <v>35866000</v>
      </c>
      <c r="N80" s="8">
        <f t="shared" si="57"/>
        <v>28692800</v>
      </c>
      <c r="O80" s="8"/>
      <c r="P80" s="8"/>
      <c r="Q80" s="8">
        <v>0</v>
      </c>
      <c r="R80" s="8">
        <v>0</v>
      </c>
      <c r="S80" s="8">
        <f t="shared" si="52"/>
        <v>21519600</v>
      </c>
      <c r="T80" s="4">
        <v>7173200</v>
      </c>
      <c r="U80" s="4">
        <f t="shared" si="58"/>
        <v>7173200</v>
      </c>
      <c r="V80" s="90"/>
      <c r="W80" s="90"/>
      <c r="X80" s="4">
        <v>6387</v>
      </c>
      <c r="Y80" s="4">
        <v>2331290</v>
      </c>
      <c r="Z80" s="8">
        <f t="shared" si="54"/>
        <v>7173200</v>
      </c>
      <c r="AA80" s="4">
        <f t="shared" si="59"/>
        <v>2331290</v>
      </c>
      <c r="AB80" s="8">
        <f t="shared" si="50"/>
        <v>1865032</v>
      </c>
      <c r="AC80" s="4">
        <f t="shared" si="51"/>
        <v>1398774</v>
      </c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</row>
    <row r="81" spans="1:61" s="95" customFormat="1" ht="27.6" customHeight="1" x14ac:dyDescent="0.2">
      <c r="A81" s="9">
        <v>73</v>
      </c>
      <c r="B81" s="58" t="s">
        <v>462</v>
      </c>
      <c r="C81" s="9" t="s">
        <v>187</v>
      </c>
      <c r="D81" s="59">
        <v>2333000</v>
      </c>
      <c r="E81" s="9"/>
      <c r="F81" s="9"/>
      <c r="G81" s="62"/>
      <c r="H81" s="54">
        <v>6.5</v>
      </c>
      <c r="I81" s="34"/>
      <c r="J81" s="34"/>
      <c r="K81" s="34">
        <v>0</v>
      </c>
      <c r="L81" s="8">
        <v>2333000</v>
      </c>
      <c r="M81" s="8">
        <f t="shared" si="56"/>
        <v>2333000</v>
      </c>
      <c r="N81" s="8">
        <f t="shared" si="57"/>
        <v>1866400</v>
      </c>
      <c r="O81" s="8"/>
      <c r="P81" s="8"/>
      <c r="Q81" s="8">
        <v>0</v>
      </c>
      <c r="R81" s="8">
        <v>0</v>
      </c>
      <c r="S81" s="8">
        <f t="shared" si="52"/>
        <v>1399800</v>
      </c>
      <c r="T81" s="4">
        <v>466600</v>
      </c>
      <c r="U81" s="4">
        <f t="shared" si="58"/>
        <v>466600</v>
      </c>
      <c r="V81" s="90"/>
      <c r="W81" s="90"/>
      <c r="X81" s="4">
        <v>415</v>
      </c>
      <c r="Y81" s="4">
        <v>151645</v>
      </c>
      <c r="Z81" s="8">
        <f t="shared" si="54"/>
        <v>466600</v>
      </c>
      <c r="AA81" s="4">
        <f t="shared" si="59"/>
        <v>151645</v>
      </c>
      <c r="AB81" s="8">
        <f t="shared" si="50"/>
        <v>121316</v>
      </c>
      <c r="AC81" s="4">
        <f t="shared" si="51"/>
        <v>90987</v>
      </c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</row>
    <row r="82" spans="1:61" s="95" customFormat="1" ht="27.6" customHeight="1" x14ac:dyDescent="0.2">
      <c r="A82" s="9">
        <v>74</v>
      </c>
      <c r="B82" s="58" t="s">
        <v>479</v>
      </c>
      <c r="C82" s="9" t="s">
        <v>187</v>
      </c>
      <c r="D82" s="59">
        <v>34605000</v>
      </c>
      <c r="E82" s="9"/>
      <c r="F82" s="9"/>
      <c r="G82" s="62"/>
      <c r="H82" s="54">
        <v>6.5</v>
      </c>
      <c r="I82" s="34"/>
      <c r="J82" s="34"/>
      <c r="K82" s="34"/>
      <c r="L82" s="8">
        <v>0</v>
      </c>
      <c r="M82" s="8">
        <v>34605000</v>
      </c>
      <c r="N82" s="8">
        <f t="shared" si="57"/>
        <v>34605000</v>
      </c>
      <c r="O82" s="8"/>
      <c r="P82" s="8"/>
      <c r="Q82" s="8"/>
      <c r="R82" s="8">
        <v>0</v>
      </c>
      <c r="S82" s="8">
        <f t="shared" si="52"/>
        <v>27684000</v>
      </c>
      <c r="T82" s="4">
        <v>0</v>
      </c>
      <c r="U82" s="4">
        <f>D82/5</f>
        <v>6921000</v>
      </c>
      <c r="V82" s="90"/>
      <c r="W82" s="90"/>
      <c r="X82" s="4"/>
      <c r="Y82" s="4">
        <v>788804</v>
      </c>
      <c r="Z82" s="8">
        <f>U82</f>
        <v>6921000</v>
      </c>
      <c r="AA82" s="4">
        <v>2249325</v>
      </c>
      <c r="AB82" s="8">
        <f t="shared" si="50"/>
        <v>2249325</v>
      </c>
      <c r="AC82" s="4">
        <f t="shared" si="51"/>
        <v>1799460</v>
      </c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</row>
    <row r="83" spans="1:61" s="95" customFormat="1" ht="27.6" customHeight="1" x14ac:dyDescent="0.2">
      <c r="A83" s="9">
        <v>75</v>
      </c>
      <c r="B83" s="58" t="s">
        <v>492</v>
      </c>
      <c r="C83" s="9" t="s">
        <v>187</v>
      </c>
      <c r="D83" s="59">
        <v>13042000</v>
      </c>
      <c r="E83" s="9"/>
      <c r="F83" s="9"/>
      <c r="G83" s="62"/>
      <c r="H83" s="54">
        <v>6.5</v>
      </c>
      <c r="I83" s="34"/>
      <c r="J83" s="34"/>
      <c r="K83" s="34"/>
      <c r="L83" s="8">
        <v>0</v>
      </c>
      <c r="M83" s="8">
        <v>13042000</v>
      </c>
      <c r="N83" s="8">
        <f t="shared" si="57"/>
        <v>13042000</v>
      </c>
      <c r="O83" s="8"/>
      <c r="P83" s="8"/>
      <c r="Q83" s="8"/>
      <c r="R83" s="8">
        <v>0</v>
      </c>
      <c r="S83" s="8">
        <f t="shared" si="52"/>
        <v>10433600</v>
      </c>
      <c r="T83" s="4">
        <v>0</v>
      </c>
      <c r="U83" s="4">
        <f t="shared" ref="U83:U87" si="60">D83/5</f>
        <v>2608400</v>
      </c>
      <c r="V83" s="90"/>
      <c r="W83" s="90"/>
      <c r="X83" s="4"/>
      <c r="Y83" s="4">
        <v>155611</v>
      </c>
      <c r="Z83" s="8">
        <f t="shared" ref="Z83:Z87" si="61">U83</f>
        <v>2608400</v>
      </c>
      <c r="AA83" s="4">
        <v>847730</v>
      </c>
      <c r="AB83" s="8">
        <f t="shared" si="50"/>
        <v>847730</v>
      </c>
      <c r="AC83" s="4">
        <f t="shared" si="51"/>
        <v>678184</v>
      </c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</row>
    <row r="84" spans="1:61" s="95" customFormat="1" ht="27.6" customHeight="1" x14ac:dyDescent="0.2">
      <c r="A84" s="9">
        <v>76</v>
      </c>
      <c r="B84" s="58" t="s">
        <v>543</v>
      </c>
      <c r="C84" s="9" t="s">
        <v>187</v>
      </c>
      <c r="D84" s="59">
        <v>8755000</v>
      </c>
      <c r="E84" s="9"/>
      <c r="F84" s="9"/>
      <c r="G84" s="62"/>
      <c r="H84" s="54">
        <v>6.5</v>
      </c>
      <c r="I84" s="34"/>
      <c r="J84" s="34"/>
      <c r="K84" s="34"/>
      <c r="L84" s="8">
        <v>0</v>
      </c>
      <c r="M84" s="8">
        <v>8755000</v>
      </c>
      <c r="N84" s="8">
        <f t="shared" si="57"/>
        <v>8755000</v>
      </c>
      <c r="O84" s="8"/>
      <c r="P84" s="8"/>
      <c r="Q84" s="8"/>
      <c r="R84" s="8">
        <v>0</v>
      </c>
      <c r="S84" s="8">
        <f t="shared" si="52"/>
        <v>7004000</v>
      </c>
      <c r="T84" s="4">
        <v>0</v>
      </c>
      <c r="U84" s="4">
        <f t="shared" si="60"/>
        <v>1751000</v>
      </c>
      <c r="V84" s="90"/>
      <c r="W84" s="90"/>
      <c r="X84" s="4"/>
      <c r="Y84" s="4">
        <v>60805</v>
      </c>
      <c r="Z84" s="8">
        <f t="shared" si="61"/>
        <v>1751000</v>
      </c>
      <c r="AA84" s="4">
        <f>M84*6.5/100</f>
        <v>569075</v>
      </c>
      <c r="AB84" s="8">
        <f t="shared" si="50"/>
        <v>569075</v>
      </c>
      <c r="AC84" s="4">
        <f t="shared" si="51"/>
        <v>455260</v>
      </c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</row>
    <row r="85" spans="1:61" s="95" customFormat="1" ht="27.6" customHeight="1" x14ac:dyDescent="0.2">
      <c r="A85" s="9">
        <v>77</v>
      </c>
      <c r="B85" s="58" t="s">
        <v>550</v>
      </c>
      <c r="C85" s="9" t="s">
        <v>187</v>
      </c>
      <c r="D85" s="59">
        <v>9144000</v>
      </c>
      <c r="E85" s="9"/>
      <c r="F85" s="9"/>
      <c r="G85" s="62"/>
      <c r="H85" s="54">
        <v>6.5</v>
      </c>
      <c r="I85" s="34"/>
      <c r="J85" s="34"/>
      <c r="K85" s="34"/>
      <c r="L85" s="8">
        <v>0</v>
      </c>
      <c r="M85" s="8">
        <v>9144000</v>
      </c>
      <c r="N85" s="8">
        <f t="shared" si="57"/>
        <v>9144000</v>
      </c>
      <c r="O85" s="8"/>
      <c r="P85" s="8"/>
      <c r="Q85" s="8"/>
      <c r="R85" s="8">
        <v>0</v>
      </c>
      <c r="S85" s="8">
        <f t="shared" si="52"/>
        <v>7315200</v>
      </c>
      <c r="T85" s="4">
        <v>0</v>
      </c>
      <c r="U85" s="4">
        <f t="shared" si="60"/>
        <v>1828800</v>
      </c>
      <c r="V85" s="90"/>
      <c r="W85" s="90"/>
      <c r="X85" s="4"/>
      <c r="Y85" s="4">
        <v>9770</v>
      </c>
      <c r="Z85" s="8">
        <f t="shared" si="61"/>
        <v>1828800</v>
      </c>
      <c r="AA85" s="4">
        <v>594360</v>
      </c>
      <c r="AB85" s="8">
        <f t="shared" si="50"/>
        <v>594360</v>
      </c>
      <c r="AC85" s="4">
        <f t="shared" si="51"/>
        <v>475488</v>
      </c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</row>
    <row r="86" spans="1:61" s="95" customFormat="1" ht="27.6" customHeight="1" x14ac:dyDescent="0.2">
      <c r="A86" s="9">
        <v>78</v>
      </c>
      <c r="B86" s="58" t="s">
        <v>554</v>
      </c>
      <c r="C86" s="9" t="s">
        <v>187</v>
      </c>
      <c r="D86" s="59">
        <v>11984000</v>
      </c>
      <c r="E86" s="9"/>
      <c r="F86" s="9"/>
      <c r="G86" s="62"/>
      <c r="H86" s="54">
        <v>6.5</v>
      </c>
      <c r="I86" s="34"/>
      <c r="J86" s="34"/>
      <c r="K86" s="34"/>
      <c r="L86" s="8">
        <v>0</v>
      </c>
      <c r="M86" s="8">
        <v>11984000</v>
      </c>
      <c r="N86" s="8">
        <f t="shared" si="57"/>
        <v>11984000</v>
      </c>
      <c r="O86" s="8"/>
      <c r="P86" s="8"/>
      <c r="Q86" s="8"/>
      <c r="R86" s="8">
        <v>0</v>
      </c>
      <c r="S86" s="8">
        <f t="shared" si="52"/>
        <v>9587200</v>
      </c>
      <c r="T86" s="4">
        <v>0</v>
      </c>
      <c r="U86" s="4">
        <f t="shared" si="60"/>
        <v>2396800</v>
      </c>
      <c r="V86" s="90"/>
      <c r="W86" s="90"/>
      <c r="X86" s="4"/>
      <c r="Y86" s="4">
        <v>4268</v>
      </c>
      <c r="Z86" s="8">
        <f t="shared" si="61"/>
        <v>2396800</v>
      </c>
      <c r="AA86" s="4">
        <v>778960</v>
      </c>
      <c r="AB86" s="8">
        <f t="shared" si="50"/>
        <v>778960</v>
      </c>
      <c r="AC86" s="4">
        <f t="shared" si="51"/>
        <v>623168</v>
      </c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</row>
    <row r="87" spans="1:61" s="95" customFormat="1" ht="27.6" customHeight="1" x14ac:dyDescent="0.2">
      <c r="A87" s="9">
        <v>79</v>
      </c>
      <c r="B87" s="58" t="s">
        <v>554</v>
      </c>
      <c r="C87" s="9" t="s">
        <v>187</v>
      </c>
      <c r="D87" s="59">
        <v>912000</v>
      </c>
      <c r="E87" s="9"/>
      <c r="F87" s="9"/>
      <c r="G87" s="62"/>
      <c r="H87" s="54">
        <v>6.5</v>
      </c>
      <c r="I87" s="34"/>
      <c r="J87" s="34"/>
      <c r="K87" s="34"/>
      <c r="L87" s="8">
        <v>0</v>
      </c>
      <c r="M87" s="8">
        <v>912000</v>
      </c>
      <c r="N87" s="8">
        <f t="shared" si="57"/>
        <v>912000</v>
      </c>
      <c r="O87" s="8"/>
      <c r="P87" s="8"/>
      <c r="Q87" s="8"/>
      <c r="R87" s="8">
        <v>0</v>
      </c>
      <c r="S87" s="8">
        <f t="shared" si="52"/>
        <v>729600</v>
      </c>
      <c r="T87" s="4">
        <v>0</v>
      </c>
      <c r="U87" s="4">
        <f t="shared" si="60"/>
        <v>182400</v>
      </c>
      <c r="V87" s="90"/>
      <c r="W87" s="90"/>
      <c r="X87" s="4"/>
      <c r="Y87" s="4">
        <v>325</v>
      </c>
      <c r="Z87" s="8">
        <f t="shared" si="61"/>
        <v>182400</v>
      </c>
      <c r="AA87" s="4">
        <v>59280</v>
      </c>
      <c r="AB87" s="8">
        <f t="shared" si="50"/>
        <v>59280</v>
      </c>
      <c r="AC87" s="4">
        <f t="shared" si="51"/>
        <v>47424</v>
      </c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</row>
    <row r="88" spans="1:61" s="95" customFormat="1" ht="27.6" customHeight="1" x14ac:dyDescent="0.2">
      <c r="A88" s="9">
        <v>80</v>
      </c>
      <c r="B88" s="58" t="s">
        <v>562</v>
      </c>
      <c r="C88" s="9" t="s">
        <v>187</v>
      </c>
      <c r="D88" s="59">
        <v>39320000</v>
      </c>
      <c r="E88" s="9"/>
      <c r="F88" s="9"/>
      <c r="G88" s="62"/>
      <c r="H88" s="54">
        <v>7.5</v>
      </c>
      <c r="I88" s="34"/>
      <c r="J88" s="34"/>
      <c r="K88" s="34"/>
      <c r="L88" s="8"/>
      <c r="M88" s="8">
        <v>39320000</v>
      </c>
      <c r="N88" s="8">
        <v>39320000</v>
      </c>
      <c r="O88" s="8"/>
      <c r="P88" s="8"/>
      <c r="Q88" s="8"/>
      <c r="R88" s="8"/>
      <c r="S88" s="8">
        <f>N88-U88</f>
        <v>39320000</v>
      </c>
      <c r="T88" s="4">
        <v>0</v>
      </c>
      <c r="U88" s="4">
        <v>0</v>
      </c>
      <c r="V88" s="90"/>
      <c r="W88" s="90"/>
      <c r="X88" s="4"/>
      <c r="Y88" s="4"/>
      <c r="Z88" s="4">
        <f>D88/5</f>
        <v>7864000</v>
      </c>
      <c r="AA88" s="8">
        <f>AB88/365*285</f>
        <v>2302643.8356164382</v>
      </c>
      <c r="AB88" s="8">
        <f>N88*7.5/100</f>
        <v>2949000</v>
      </c>
      <c r="AC88" s="4">
        <f t="shared" si="51"/>
        <v>2949000</v>
      </c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</row>
    <row r="89" spans="1:61" s="107" customFormat="1" ht="33.75" customHeight="1" x14ac:dyDescent="0.2">
      <c r="A89" s="103"/>
      <c r="B89" s="113"/>
      <c r="C89" s="105" t="s">
        <v>123</v>
      </c>
      <c r="D89" s="106">
        <f>SUM(D42:D88)</f>
        <v>3301555000</v>
      </c>
      <c r="E89" s="106">
        <f>SUM(E42:E53)</f>
        <v>63</v>
      </c>
      <c r="F89" s="106">
        <f>SUM(F42:F53)</f>
        <v>18</v>
      </c>
      <c r="G89" s="106">
        <f>SUM(G42:G53)</f>
        <v>0</v>
      </c>
      <c r="H89" s="106"/>
      <c r="I89" s="106">
        <f>SUM(I42:I53)</f>
        <v>0</v>
      </c>
      <c r="J89" s="106">
        <f>SUM(J42:J55)</f>
        <v>931100000</v>
      </c>
      <c r="K89" s="106">
        <f>SUM(K42:K83)</f>
        <v>2889075000</v>
      </c>
      <c r="L89" s="106">
        <f>SUM(L42:L87)</f>
        <v>2997573000</v>
      </c>
      <c r="M89" s="106">
        <f t="shared" ref="M89:AC89" si="62">SUM(M42:M88)</f>
        <v>2150160800</v>
      </c>
      <c r="N89" s="106">
        <f t="shared" si="62"/>
        <v>1513402200</v>
      </c>
      <c r="O89" s="106">
        <f t="shared" si="62"/>
        <v>0</v>
      </c>
      <c r="P89" s="106">
        <f t="shared" si="62"/>
        <v>0</v>
      </c>
      <c r="Q89" s="106">
        <f t="shared" si="62"/>
        <v>186220000</v>
      </c>
      <c r="R89" s="106">
        <f t="shared" si="62"/>
        <v>387359200</v>
      </c>
      <c r="S89" s="106">
        <f t="shared" si="62"/>
        <v>860955200</v>
      </c>
      <c r="T89" s="106">
        <f t="shared" si="62"/>
        <v>636758600</v>
      </c>
      <c r="U89" s="106">
        <f t="shared" si="62"/>
        <v>652447000</v>
      </c>
      <c r="V89" s="106">
        <f t="shared" si="62"/>
        <v>14445263</v>
      </c>
      <c r="W89" s="106">
        <f t="shared" si="62"/>
        <v>80557741</v>
      </c>
      <c r="X89" s="106">
        <f t="shared" si="62"/>
        <v>195560997</v>
      </c>
      <c r="Y89" s="106">
        <f t="shared" si="62"/>
        <v>193324894</v>
      </c>
      <c r="Z89" s="106">
        <f t="shared" si="62"/>
        <v>474091000</v>
      </c>
      <c r="AA89" s="106">
        <f t="shared" si="62"/>
        <v>139507295.83561644</v>
      </c>
      <c r="AB89" s="106">
        <f t="shared" si="62"/>
        <v>98764343</v>
      </c>
      <c r="AC89" s="106">
        <f t="shared" si="62"/>
        <v>56355288</v>
      </c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</row>
    <row r="90" spans="1:61" s="37" customFormat="1" ht="27.6" customHeight="1" x14ac:dyDescent="0.2">
      <c r="A90" s="9">
        <v>81</v>
      </c>
      <c r="B90" s="58" t="s">
        <v>257</v>
      </c>
      <c r="C90" s="9" t="s">
        <v>193</v>
      </c>
      <c r="D90" s="59">
        <v>58800000</v>
      </c>
      <c r="E90" s="9">
        <v>7</v>
      </c>
      <c r="F90" s="9">
        <v>2</v>
      </c>
      <c r="G90" s="62" t="s">
        <v>178</v>
      </c>
      <c r="H90" s="54">
        <v>6.5</v>
      </c>
      <c r="I90" s="34">
        <v>0</v>
      </c>
      <c r="J90" s="34">
        <f>D90</f>
        <v>58800000</v>
      </c>
      <c r="K90" s="34">
        <v>58800000</v>
      </c>
      <c r="L90" s="8">
        <f t="shared" ref="L90:L108" si="63">K90-Q90</f>
        <v>47040000</v>
      </c>
      <c r="M90" s="8">
        <v>23520000</v>
      </c>
      <c r="N90" s="8">
        <f t="shared" ref="N90:N117" si="64">M90-U90</f>
        <v>11760000</v>
      </c>
      <c r="O90" s="18">
        <v>0</v>
      </c>
      <c r="P90" s="18">
        <v>0</v>
      </c>
      <c r="Q90" s="18">
        <v>11760000</v>
      </c>
      <c r="R90" s="4">
        <v>11760000</v>
      </c>
      <c r="S90" s="8">
        <f t="shared" ref="S90:S136" si="65">N90-U90</f>
        <v>0</v>
      </c>
      <c r="T90" s="4">
        <f t="shared" ref="T90:T108" si="66">R90</f>
        <v>11760000</v>
      </c>
      <c r="U90" s="4">
        <f t="shared" ref="U90:U117" si="67">T90</f>
        <v>11760000</v>
      </c>
      <c r="V90" s="91">
        <v>1222530.7433191107</v>
      </c>
      <c r="W90" s="92">
        <v>3814132.2703795196</v>
      </c>
      <c r="X90" s="4">
        <v>2869118</v>
      </c>
      <c r="Y90" s="4">
        <v>2107865</v>
      </c>
      <c r="Z90" s="4">
        <v>0</v>
      </c>
      <c r="AA90" s="4">
        <f t="shared" ref="AA90:AA117" si="68">M90*6.5/100</f>
        <v>1528800</v>
      </c>
      <c r="AB90" s="8">
        <f t="shared" ref="AB90:AB133" si="69">N90*6.5/100</f>
        <v>764400</v>
      </c>
      <c r="AC90" s="4">
        <f t="shared" ref="AC90:AC136" si="70">S90*H90%</f>
        <v>0</v>
      </c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</row>
    <row r="91" spans="1:61" s="37" customFormat="1" ht="27.6" customHeight="1" x14ac:dyDescent="0.2">
      <c r="A91" s="9">
        <v>82</v>
      </c>
      <c r="B91" s="58" t="s">
        <v>258</v>
      </c>
      <c r="C91" s="9" t="s">
        <v>193</v>
      </c>
      <c r="D91" s="59">
        <v>65700000</v>
      </c>
      <c r="E91" s="9">
        <v>7</v>
      </c>
      <c r="F91" s="9">
        <v>2</v>
      </c>
      <c r="G91" s="62" t="s">
        <v>178</v>
      </c>
      <c r="H91" s="54">
        <v>6.5</v>
      </c>
      <c r="I91" s="34"/>
      <c r="J91" s="34">
        <f t="shared" ref="J91:J92" si="71">D91</f>
        <v>65700000</v>
      </c>
      <c r="K91" s="34">
        <v>65700000</v>
      </c>
      <c r="L91" s="8">
        <f t="shared" si="63"/>
        <v>52560000</v>
      </c>
      <c r="M91" s="8">
        <v>26280000</v>
      </c>
      <c r="N91" s="8">
        <f t="shared" si="64"/>
        <v>13140000</v>
      </c>
      <c r="O91" s="18">
        <v>0</v>
      </c>
      <c r="P91" s="18">
        <v>0</v>
      </c>
      <c r="Q91" s="18">
        <v>13140000</v>
      </c>
      <c r="R91" s="4">
        <v>13140000</v>
      </c>
      <c r="S91" s="8">
        <f t="shared" si="65"/>
        <v>0</v>
      </c>
      <c r="T91" s="4">
        <f t="shared" si="66"/>
        <v>13140000</v>
      </c>
      <c r="U91" s="4">
        <f t="shared" si="67"/>
        <v>13140000</v>
      </c>
      <c r="V91" s="64">
        <v>1962691</v>
      </c>
      <c r="W91" s="65">
        <v>4261709</v>
      </c>
      <c r="X91" s="4">
        <v>3917160</v>
      </c>
      <c r="Y91" s="4">
        <v>3068335</v>
      </c>
      <c r="Z91" s="4">
        <v>0</v>
      </c>
      <c r="AA91" s="4">
        <f t="shared" si="68"/>
        <v>1708200</v>
      </c>
      <c r="AB91" s="8">
        <f t="shared" si="69"/>
        <v>854100</v>
      </c>
      <c r="AC91" s="4">
        <f t="shared" si="70"/>
        <v>0</v>
      </c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</row>
    <row r="92" spans="1:61" s="37" customFormat="1" ht="27.6" customHeight="1" x14ac:dyDescent="0.2">
      <c r="A92" s="9">
        <v>83</v>
      </c>
      <c r="B92" s="58" t="s">
        <v>259</v>
      </c>
      <c r="C92" s="9" t="s">
        <v>193</v>
      </c>
      <c r="D92" s="59">
        <v>8600000</v>
      </c>
      <c r="E92" s="9">
        <v>7</v>
      </c>
      <c r="F92" s="9">
        <v>2</v>
      </c>
      <c r="G92" s="62" t="s">
        <v>178</v>
      </c>
      <c r="H92" s="54">
        <v>6.5</v>
      </c>
      <c r="I92" s="34"/>
      <c r="J92" s="34">
        <f t="shared" si="71"/>
        <v>8600000</v>
      </c>
      <c r="K92" s="34">
        <v>8600000</v>
      </c>
      <c r="L92" s="8">
        <f t="shared" si="63"/>
        <v>6880000</v>
      </c>
      <c r="M92" s="8">
        <v>3440000</v>
      </c>
      <c r="N92" s="8">
        <f t="shared" si="64"/>
        <v>1720000</v>
      </c>
      <c r="O92" s="18">
        <v>0</v>
      </c>
      <c r="P92" s="18">
        <v>0</v>
      </c>
      <c r="Q92" s="18">
        <v>1720000</v>
      </c>
      <c r="R92" s="4">
        <v>1720000</v>
      </c>
      <c r="S92" s="8">
        <f t="shared" si="65"/>
        <v>0</v>
      </c>
      <c r="T92" s="4">
        <f t="shared" si="66"/>
        <v>1720000</v>
      </c>
      <c r="U92" s="4">
        <f t="shared" si="67"/>
        <v>1720000</v>
      </c>
      <c r="V92" s="64">
        <v>203310</v>
      </c>
      <c r="W92" s="65">
        <v>557849</v>
      </c>
      <c r="X92" s="4">
        <v>521938</v>
      </c>
      <c r="Y92" s="4">
        <v>410828</v>
      </c>
      <c r="Z92" s="4">
        <v>0</v>
      </c>
      <c r="AA92" s="4">
        <f t="shared" si="68"/>
        <v>223600</v>
      </c>
      <c r="AB92" s="8">
        <f t="shared" si="69"/>
        <v>111800</v>
      </c>
      <c r="AC92" s="4">
        <f t="shared" si="70"/>
        <v>0</v>
      </c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</row>
    <row r="93" spans="1:61" s="37" customFormat="1" ht="27.6" customHeight="1" x14ac:dyDescent="0.2">
      <c r="A93" s="9">
        <v>84</v>
      </c>
      <c r="B93" s="58" t="s">
        <v>245</v>
      </c>
      <c r="C93" s="9" t="s">
        <v>193</v>
      </c>
      <c r="D93" s="59">
        <v>11700000</v>
      </c>
      <c r="E93" s="9">
        <v>7</v>
      </c>
      <c r="F93" s="9">
        <v>2</v>
      </c>
      <c r="G93" s="62" t="s">
        <v>178</v>
      </c>
      <c r="H93" s="54">
        <v>6.5</v>
      </c>
      <c r="I93" s="34">
        <v>0</v>
      </c>
      <c r="J93" s="34">
        <f>D93</f>
        <v>11700000</v>
      </c>
      <c r="K93" s="34">
        <v>11700000</v>
      </c>
      <c r="L93" s="8">
        <f t="shared" si="63"/>
        <v>9360000</v>
      </c>
      <c r="M93" s="8">
        <v>4680000</v>
      </c>
      <c r="N93" s="8">
        <f t="shared" si="64"/>
        <v>2340000</v>
      </c>
      <c r="O93" s="18">
        <v>0</v>
      </c>
      <c r="P93" s="18">
        <v>0</v>
      </c>
      <c r="Q93" s="18">
        <v>2340000</v>
      </c>
      <c r="R93" s="4">
        <v>2340000</v>
      </c>
      <c r="S93" s="8">
        <f t="shared" si="65"/>
        <v>0</v>
      </c>
      <c r="T93" s="4">
        <f t="shared" si="66"/>
        <v>2340000</v>
      </c>
      <c r="U93" s="4">
        <f t="shared" si="67"/>
        <v>2340000</v>
      </c>
      <c r="V93" s="91">
        <v>214089</v>
      </c>
      <c r="W93" s="92">
        <v>758935</v>
      </c>
      <c r="X93" s="4">
        <v>722996</v>
      </c>
      <c r="Y93" s="4">
        <v>571835</v>
      </c>
      <c r="Z93" s="4">
        <v>0</v>
      </c>
      <c r="AA93" s="4">
        <f t="shared" si="68"/>
        <v>304200</v>
      </c>
      <c r="AB93" s="8">
        <f t="shared" si="69"/>
        <v>152100</v>
      </c>
      <c r="AC93" s="4">
        <f t="shared" si="70"/>
        <v>0</v>
      </c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</row>
    <row r="94" spans="1:61" s="37" customFormat="1" ht="27.6" customHeight="1" x14ac:dyDescent="0.2">
      <c r="A94" s="9">
        <v>85</v>
      </c>
      <c r="B94" s="58" t="s">
        <v>250</v>
      </c>
      <c r="C94" s="9" t="s">
        <v>193</v>
      </c>
      <c r="D94" s="59">
        <v>17400000</v>
      </c>
      <c r="E94" s="9">
        <v>7</v>
      </c>
      <c r="F94" s="9">
        <v>2</v>
      </c>
      <c r="G94" s="62" t="s">
        <v>178</v>
      </c>
      <c r="H94" s="54">
        <v>6.5</v>
      </c>
      <c r="I94" s="34">
        <v>0</v>
      </c>
      <c r="J94" s="34">
        <f>D94</f>
        <v>17400000</v>
      </c>
      <c r="K94" s="34">
        <v>17400000</v>
      </c>
      <c r="L94" s="8">
        <f t="shared" si="63"/>
        <v>13920000</v>
      </c>
      <c r="M94" s="8">
        <v>6960000</v>
      </c>
      <c r="N94" s="8">
        <f t="shared" si="64"/>
        <v>3480000</v>
      </c>
      <c r="O94" s="18">
        <v>0</v>
      </c>
      <c r="P94" s="18">
        <v>0</v>
      </c>
      <c r="Q94" s="18">
        <v>3480000</v>
      </c>
      <c r="R94" s="4">
        <v>3480000</v>
      </c>
      <c r="S94" s="8">
        <f t="shared" si="65"/>
        <v>0</v>
      </c>
      <c r="T94" s="4">
        <f t="shared" si="66"/>
        <v>3480000</v>
      </c>
      <c r="U94" s="4">
        <f t="shared" si="67"/>
        <v>3480000</v>
      </c>
      <c r="V94" s="91">
        <v>296698</v>
      </c>
      <c r="W94" s="92">
        <v>1128672</v>
      </c>
      <c r="X94" s="4">
        <v>1075225</v>
      </c>
      <c r="Y94" s="4">
        <v>850422</v>
      </c>
      <c r="Z94" s="4">
        <v>0</v>
      </c>
      <c r="AA94" s="4">
        <f t="shared" si="68"/>
        <v>452400</v>
      </c>
      <c r="AB94" s="8">
        <f t="shared" si="69"/>
        <v>226200</v>
      </c>
      <c r="AC94" s="4">
        <f t="shared" si="70"/>
        <v>0</v>
      </c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</row>
    <row r="95" spans="1:61" s="37" customFormat="1" ht="27.6" customHeight="1" x14ac:dyDescent="0.2">
      <c r="A95" s="9">
        <v>86</v>
      </c>
      <c r="B95" s="58" t="s">
        <v>251</v>
      </c>
      <c r="C95" s="9" t="s">
        <v>193</v>
      </c>
      <c r="D95" s="59">
        <v>194200000</v>
      </c>
      <c r="E95" s="9">
        <v>7</v>
      </c>
      <c r="F95" s="9">
        <v>2</v>
      </c>
      <c r="G95" s="62" t="s">
        <v>178</v>
      </c>
      <c r="H95" s="54">
        <v>6.5</v>
      </c>
      <c r="I95" s="34">
        <v>0</v>
      </c>
      <c r="J95" s="34">
        <v>194200000</v>
      </c>
      <c r="K95" s="34">
        <v>194200000</v>
      </c>
      <c r="L95" s="8">
        <f t="shared" si="63"/>
        <v>155360000</v>
      </c>
      <c r="M95" s="8">
        <v>77680000</v>
      </c>
      <c r="N95" s="8">
        <f t="shared" si="64"/>
        <v>38840000</v>
      </c>
      <c r="O95" s="18">
        <v>0</v>
      </c>
      <c r="P95" s="18">
        <v>0</v>
      </c>
      <c r="Q95" s="18">
        <v>38840000</v>
      </c>
      <c r="R95" s="4">
        <v>38840000</v>
      </c>
      <c r="S95" s="8">
        <f t="shared" si="65"/>
        <v>0</v>
      </c>
      <c r="T95" s="4">
        <f t="shared" si="66"/>
        <v>38840000</v>
      </c>
      <c r="U95" s="4">
        <f t="shared" si="67"/>
        <v>38840000</v>
      </c>
      <c r="V95" s="91">
        <v>3069527</v>
      </c>
      <c r="W95" s="92">
        <v>12597015</v>
      </c>
      <c r="X95" s="4">
        <v>12541575</v>
      </c>
      <c r="Y95" s="4">
        <v>10091597</v>
      </c>
      <c r="Z95" s="4">
        <v>0</v>
      </c>
      <c r="AA95" s="4">
        <f t="shared" si="68"/>
        <v>5049200</v>
      </c>
      <c r="AB95" s="8">
        <f t="shared" si="69"/>
        <v>2524600</v>
      </c>
      <c r="AC95" s="4">
        <f t="shared" si="70"/>
        <v>0</v>
      </c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</row>
    <row r="96" spans="1:61" s="37" customFormat="1" ht="27.6" customHeight="1" x14ac:dyDescent="0.2">
      <c r="A96" s="9">
        <v>87</v>
      </c>
      <c r="B96" s="58" t="s">
        <v>241</v>
      </c>
      <c r="C96" s="9" t="s">
        <v>193</v>
      </c>
      <c r="D96" s="59">
        <v>82400000</v>
      </c>
      <c r="E96" s="9">
        <v>7</v>
      </c>
      <c r="F96" s="9">
        <v>2</v>
      </c>
      <c r="G96" s="62" t="s">
        <v>178</v>
      </c>
      <c r="H96" s="54">
        <v>6.5</v>
      </c>
      <c r="I96" s="34">
        <v>0</v>
      </c>
      <c r="J96" s="34">
        <f>D96</f>
        <v>82400000</v>
      </c>
      <c r="K96" s="34">
        <v>82400000</v>
      </c>
      <c r="L96" s="8">
        <f t="shared" si="63"/>
        <v>65920000</v>
      </c>
      <c r="M96" s="8">
        <v>32960000</v>
      </c>
      <c r="N96" s="8">
        <f t="shared" si="64"/>
        <v>16480000</v>
      </c>
      <c r="O96" s="18">
        <v>0</v>
      </c>
      <c r="P96" s="18">
        <v>0</v>
      </c>
      <c r="Q96" s="18">
        <v>16480000</v>
      </c>
      <c r="R96" s="4">
        <v>16480000</v>
      </c>
      <c r="S96" s="8">
        <f t="shared" si="65"/>
        <v>0</v>
      </c>
      <c r="T96" s="4">
        <f t="shared" si="66"/>
        <v>16480000</v>
      </c>
      <c r="U96" s="4">
        <f t="shared" si="67"/>
        <v>16480000</v>
      </c>
      <c r="V96" s="91">
        <v>365847</v>
      </c>
      <c r="W96" s="92">
        <v>5344974</v>
      </c>
      <c r="X96" s="4">
        <v>5356000</v>
      </c>
      <c r="Y96" s="4">
        <v>4293620</v>
      </c>
      <c r="Z96" s="4">
        <v>0</v>
      </c>
      <c r="AA96" s="4">
        <f t="shared" si="68"/>
        <v>2142400</v>
      </c>
      <c r="AB96" s="8">
        <f t="shared" si="69"/>
        <v>1071200</v>
      </c>
      <c r="AC96" s="4">
        <f t="shared" si="70"/>
        <v>0</v>
      </c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</row>
    <row r="97" spans="1:61" s="37" customFormat="1" ht="27.6" customHeight="1" x14ac:dyDescent="0.2">
      <c r="A97" s="9">
        <v>88</v>
      </c>
      <c r="B97" s="58" t="s">
        <v>237</v>
      </c>
      <c r="C97" s="9" t="s">
        <v>193</v>
      </c>
      <c r="D97" s="59">
        <v>20600000</v>
      </c>
      <c r="E97" s="9">
        <v>7</v>
      </c>
      <c r="F97" s="9">
        <v>2</v>
      </c>
      <c r="G97" s="62" t="s">
        <v>178</v>
      </c>
      <c r="H97" s="54">
        <v>6.5</v>
      </c>
      <c r="I97" s="34">
        <v>0</v>
      </c>
      <c r="J97" s="34">
        <f>D97</f>
        <v>20600000</v>
      </c>
      <c r="K97" s="34">
        <v>20600000</v>
      </c>
      <c r="L97" s="8">
        <f t="shared" si="63"/>
        <v>16480000</v>
      </c>
      <c r="M97" s="8">
        <v>8240000</v>
      </c>
      <c r="N97" s="8">
        <f t="shared" si="64"/>
        <v>4120000</v>
      </c>
      <c r="O97" s="18">
        <v>0</v>
      </c>
      <c r="P97" s="18">
        <v>0</v>
      </c>
      <c r="Q97" s="18">
        <v>4120000</v>
      </c>
      <c r="R97" s="4">
        <v>4120000</v>
      </c>
      <c r="S97" s="8">
        <f t="shared" si="65"/>
        <v>0</v>
      </c>
      <c r="T97" s="4">
        <f t="shared" si="66"/>
        <v>4120000</v>
      </c>
      <c r="U97" s="4">
        <f t="shared" si="67"/>
        <v>4120000</v>
      </c>
      <c r="V97" s="91">
        <v>14634</v>
      </c>
      <c r="W97" s="92">
        <v>1336244</v>
      </c>
      <c r="X97" s="4">
        <v>1339000</v>
      </c>
      <c r="Y97" s="4">
        <v>1073405</v>
      </c>
      <c r="Z97" s="4">
        <v>0</v>
      </c>
      <c r="AA97" s="4">
        <f t="shared" si="68"/>
        <v>535600</v>
      </c>
      <c r="AB97" s="8">
        <f t="shared" si="69"/>
        <v>267800</v>
      </c>
      <c r="AC97" s="4">
        <f t="shared" si="70"/>
        <v>0</v>
      </c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</row>
    <row r="98" spans="1:61" s="37" customFormat="1" ht="27.6" customHeight="1" x14ac:dyDescent="0.2">
      <c r="A98" s="9">
        <v>89</v>
      </c>
      <c r="B98" s="58" t="s">
        <v>247</v>
      </c>
      <c r="C98" s="9" t="s">
        <v>193</v>
      </c>
      <c r="D98" s="59">
        <v>49300000</v>
      </c>
      <c r="E98" s="9">
        <v>7</v>
      </c>
      <c r="F98" s="9">
        <v>2</v>
      </c>
      <c r="G98" s="62" t="s">
        <v>178</v>
      </c>
      <c r="H98" s="54">
        <v>6.5</v>
      </c>
      <c r="I98" s="34">
        <v>0</v>
      </c>
      <c r="J98" s="34">
        <v>0</v>
      </c>
      <c r="K98" s="34">
        <v>49300000</v>
      </c>
      <c r="L98" s="8">
        <f t="shared" si="63"/>
        <v>49300000</v>
      </c>
      <c r="M98" s="8">
        <v>29580000</v>
      </c>
      <c r="N98" s="8">
        <f t="shared" si="64"/>
        <v>19720000</v>
      </c>
      <c r="O98" s="18">
        <v>0</v>
      </c>
      <c r="P98" s="18">
        <v>0</v>
      </c>
      <c r="Q98" s="18">
        <v>0</v>
      </c>
      <c r="R98" s="4">
        <v>9860000</v>
      </c>
      <c r="S98" s="8">
        <f>N98-U98</f>
        <v>9860000</v>
      </c>
      <c r="T98" s="4">
        <f t="shared" si="66"/>
        <v>9860000</v>
      </c>
      <c r="U98" s="4">
        <f t="shared" si="67"/>
        <v>9860000</v>
      </c>
      <c r="V98" s="91">
        <v>0</v>
      </c>
      <c r="W98" s="92">
        <v>2322358</v>
      </c>
      <c r="X98" s="4">
        <v>3204500</v>
      </c>
      <c r="Y98" s="4">
        <v>2783096</v>
      </c>
      <c r="Z98" s="4">
        <f t="shared" ref="Z98:Z123" si="72">U98</f>
        <v>9860000</v>
      </c>
      <c r="AA98" s="4">
        <f t="shared" si="68"/>
        <v>1922700</v>
      </c>
      <c r="AB98" s="8">
        <f t="shared" si="69"/>
        <v>1281800</v>
      </c>
      <c r="AC98" s="4">
        <f t="shared" si="70"/>
        <v>640900</v>
      </c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</row>
    <row r="99" spans="1:61" s="37" customFormat="1" ht="27.6" customHeight="1" x14ac:dyDescent="0.2">
      <c r="A99" s="9">
        <v>90</v>
      </c>
      <c r="B99" s="58" t="s">
        <v>260</v>
      </c>
      <c r="C99" s="9" t="s">
        <v>193</v>
      </c>
      <c r="D99" s="59">
        <v>18400000</v>
      </c>
      <c r="E99" s="9">
        <v>7</v>
      </c>
      <c r="F99" s="9">
        <v>2</v>
      </c>
      <c r="G99" s="62" t="s">
        <v>178</v>
      </c>
      <c r="H99" s="54">
        <v>6.5</v>
      </c>
      <c r="I99" s="34">
        <v>0</v>
      </c>
      <c r="J99" s="34"/>
      <c r="K99" s="34">
        <v>18400000</v>
      </c>
      <c r="L99" s="8">
        <f t="shared" si="63"/>
        <v>18400000</v>
      </c>
      <c r="M99" s="8">
        <v>11040000</v>
      </c>
      <c r="N99" s="8">
        <f t="shared" si="64"/>
        <v>7360000</v>
      </c>
      <c r="O99" s="18">
        <v>0</v>
      </c>
      <c r="P99" s="18">
        <v>0</v>
      </c>
      <c r="Q99" s="18">
        <v>0</v>
      </c>
      <c r="R99" s="4">
        <v>3680000</v>
      </c>
      <c r="S99" s="8">
        <f t="shared" ref="S99:S133" si="73">N99-U99</f>
        <v>3680000</v>
      </c>
      <c r="T99" s="4">
        <f t="shared" si="66"/>
        <v>3680000</v>
      </c>
      <c r="U99" s="4">
        <f t="shared" si="67"/>
        <v>3680000</v>
      </c>
      <c r="V99" s="91">
        <v>0</v>
      </c>
      <c r="W99" s="92">
        <v>690303</v>
      </c>
      <c r="X99" s="4">
        <v>1196000</v>
      </c>
      <c r="Y99" s="4">
        <v>1059037</v>
      </c>
      <c r="Z99" s="4">
        <f t="shared" si="72"/>
        <v>3680000</v>
      </c>
      <c r="AA99" s="4">
        <f t="shared" si="68"/>
        <v>717600</v>
      </c>
      <c r="AB99" s="8">
        <f t="shared" si="69"/>
        <v>478400</v>
      </c>
      <c r="AC99" s="4">
        <f t="shared" si="70"/>
        <v>239200</v>
      </c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</row>
    <row r="100" spans="1:61" s="37" customFormat="1" ht="27.6" customHeight="1" x14ac:dyDescent="0.2">
      <c r="A100" s="9">
        <v>91</v>
      </c>
      <c r="B100" s="58" t="s">
        <v>261</v>
      </c>
      <c r="C100" s="9" t="s">
        <v>193</v>
      </c>
      <c r="D100" s="59">
        <v>49900000</v>
      </c>
      <c r="E100" s="9">
        <v>7</v>
      </c>
      <c r="F100" s="9">
        <v>2</v>
      </c>
      <c r="G100" s="62" t="s">
        <v>178</v>
      </c>
      <c r="H100" s="54">
        <v>6.5</v>
      </c>
      <c r="I100" s="34">
        <v>0</v>
      </c>
      <c r="J100" s="34">
        <v>0</v>
      </c>
      <c r="K100" s="34">
        <v>49900000</v>
      </c>
      <c r="L100" s="8">
        <f t="shared" si="63"/>
        <v>49900000</v>
      </c>
      <c r="M100" s="8">
        <v>29940000</v>
      </c>
      <c r="N100" s="8">
        <f t="shared" si="64"/>
        <v>19960000</v>
      </c>
      <c r="O100" s="18">
        <v>0</v>
      </c>
      <c r="P100" s="18">
        <v>0</v>
      </c>
      <c r="Q100" s="18">
        <v>0</v>
      </c>
      <c r="R100" s="4">
        <v>9980000</v>
      </c>
      <c r="S100" s="8">
        <f t="shared" si="73"/>
        <v>9980000</v>
      </c>
      <c r="T100" s="4">
        <f t="shared" si="66"/>
        <v>9980000</v>
      </c>
      <c r="U100" s="4">
        <f t="shared" si="67"/>
        <v>9980000</v>
      </c>
      <c r="V100" s="91">
        <v>0</v>
      </c>
      <c r="W100" s="92">
        <v>1428971</v>
      </c>
      <c r="X100" s="4">
        <v>3243500</v>
      </c>
      <c r="Y100" s="4">
        <v>2980475</v>
      </c>
      <c r="Z100" s="4">
        <f t="shared" si="72"/>
        <v>9980000</v>
      </c>
      <c r="AA100" s="4">
        <f t="shared" si="68"/>
        <v>1946100</v>
      </c>
      <c r="AB100" s="8">
        <f t="shared" si="69"/>
        <v>1297400</v>
      </c>
      <c r="AC100" s="4">
        <f t="shared" si="70"/>
        <v>648700</v>
      </c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</row>
    <row r="101" spans="1:61" s="37" customFormat="1" ht="27.6" customHeight="1" x14ac:dyDescent="0.2">
      <c r="A101" s="9">
        <v>92</v>
      </c>
      <c r="B101" s="58" t="s">
        <v>262</v>
      </c>
      <c r="C101" s="9" t="s">
        <v>193</v>
      </c>
      <c r="D101" s="59">
        <v>3750000</v>
      </c>
      <c r="E101" s="9">
        <v>7</v>
      </c>
      <c r="F101" s="9">
        <v>2</v>
      </c>
      <c r="G101" s="62" t="s">
        <v>178</v>
      </c>
      <c r="H101" s="54">
        <v>6.5</v>
      </c>
      <c r="I101" s="34">
        <v>0</v>
      </c>
      <c r="J101" s="34">
        <v>0</v>
      </c>
      <c r="K101" s="34">
        <v>3750000</v>
      </c>
      <c r="L101" s="8">
        <f t="shared" si="63"/>
        <v>3750000</v>
      </c>
      <c r="M101" s="8">
        <v>2250000</v>
      </c>
      <c r="N101" s="8">
        <f t="shared" si="64"/>
        <v>1500000</v>
      </c>
      <c r="O101" s="18">
        <v>0</v>
      </c>
      <c r="P101" s="18">
        <v>0</v>
      </c>
      <c r="Q101" s="18">
        <v>0</v>
      </c>
      <c r="R101" s="4">
        <v>750000</v>
      </c>
      <c r="S101" s="8">
        <f t="shared" si="73"/>
        <v>750000</v>
      </c>
      <c r="T101" s="4">
        <f t="shared" si="66"/>
        <v>750000</v>
      </c>
      <c r="U101" s="4">
        <f t="shared" si="67"/>
        <v>750000</v>
      </c>
      <c r="V101" s="91">
        <v>0</v>
      </c>
      <c r="W101" s="92">
        <v>70758</v>
      </c>
      <c r="X101" s="4">
        <v>243750</v>
      </c>
      <c r="Y101" s="4">
        <v>232131</v>
      </c>
      <c r="Z101" s="4">
        <f t="shared" si="72"/>
        <v>750000</v>
      </c>
      <c r="AA101" s="4">
        <f t="shared" si="68"/>
        <v>146250</v>
      </c>
      <c r="AB101" s="8">
        <f t="shared" si="69"/>
        <v>97500</v>
      </c>
      <c r="AC101" s="4">
        <f t="shared" si="70"/>
        <v>48750</v>
      </c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</row>
    <row r="102" spans="1:61" s="37" customFormat="1" ht="27.6" customHeight="1" x14ac:dyDescent="0.2">
      <c r="A102" s="9">
        <v>93</v>
      </c>
      <c r="B102" s="78" t="s">
        <v>233</v>
      </c>
      <c r="C102" s="80" t="s">
        <v>193</v>
      </c>
      <c r="D102" s="81">
        <v>62380000</v>
      </c>
      <c r="E102" s="80"/>
      <c r="F102" s="80"/>
      <c r="G102" s="82"/>
      <c r="H102" s="83">
        <v>6.5</v>
      </c>
      <c r="I102" s="61"/>
      <c r="J102" s="61">
        <v>0</v>
      </c>
      <c r="K102" s="61">
        <v>62380000</v>
      </c>
      <c r="L102" s="8">
        <f t="shared" si="63"/>
        <v>62380000</v>
      </c>
      <c r="M102" s="8">
        <v>37428000</v>
      </c>
      <c r="N102" s="8">
        <f t="shared" si="64"/>
        <v>24952000</v>
      </c>
      <c r="O102" s="65"/>
      <c r="P102" s="65">
        <v>0</v>
      </c>
      <c r="Q102" s="65">
        <v>0</v>
      </c>
      <c r="R102" s="4">
        <v>12476000</v>
      </c>
      <c r="S102" s="8">
        <f t="shared" si="73"/>
        <v>12476000</v>
      </c>
      <c r="T102" s="4">
        <f t="shared" si="66"/>
        <v>12476000</v>
      </c>
      <c r="U102" s="4">
        <f t="shared" si="67"/>
        <v>12476000</v>
      </c>
      <c r="V102" s="91"/>
      <c r="W102" s="92">
        <v>1021946</v>
      </c>
      <c r="X102" s="93">
        <v>4054700</v>
      </c>
      <c r="Y102" s="4">
        <v>3861420</v>
      </c>
      <c r="Z102" s="4">
        <f t="shared" si="72"/>
        <v>12476000</v>
      </c>
      <c r="AA102" s="4">
        <f t="shared" si="68"/>
        <v>2432820</v>
      </c>
      <c r="AB102" s="8">
        <f t="shared" si="69"/>
        <v>1621880</v>
      </c>
      <c r="AC102" s="4">
        <f t="shared" si="70"/>
        <v>810940</v>
      </c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</row>
    <row r="103" spans="1:61" s="37" customFormat="1" ht="27.6" customHeight="1" x14ac:dyDescent="0.2">
      <c r="A103" s="9">
        <v>94</v>
      </c>
      <c r="B103" s="58" t="s">
        <v>256</v>
      </c>
      <c r="C103" s="9" t="s">
        <v>193</v>
      </c>
      <c r="D103" s="59">
        <v>35621000</v>
      </c>
      <c r="E103" s="9">
        <v>7</v>
      </c>
      <c r="F103" s="9">
        <v>2</v>
      </c>
      <c r="G103" s="62" t="s">
        <v>178</v>
      </c>
      <c r="H103" s="54">
        <v>6.5</v>
      </c>
      <c r="I103" s="34">
        <v>0</v>
      </c>
      <c r="J103" s="34">
        <v>0</v>
      </c>
      <c r="K103" s="34">
        <v>35621000</v>
      </c>
      <c r="L103" s="8">
        <f t="shared" si="63"/>
        <v>35621000</v>
      </c>
      <c r="M103" s="8">
        <v>21373000</v>
      </c>
      <c r="N103" s="8">
        <v>14250000</v>
      </c>
      <c r="O103" s="18">
        <v>0</v>
      </c>
      <c r="P103" s="18">
        <v>0</v>
      </c>
      <c r="Q103" s="18"/>
      <c r="R103" s="4">
        <v>7124000</v>
      </c>
      <c r="S103" s="8">
        <f t="shared" si="73"/>
        <v>7126000</v>
      </c>
      <c r="T103" s="4">
        <f t="shared" si="66"/>
        <v>7124000</v>
      </c>
      <c r="U103" s="4">
        <f t="shared" si="67"/>
        <v>7124000</v>
      </c>
      <c r="V103" s="91">
        <v>0</v>
      </c>
      <c r="W103" s="92">
        <v>450386</v>
      </c>
      <c r="X103" s="4">
        <v>2315365</v>
      </c>
      <c r="Y103" s="4">
        <v>2244220</v>
      </c>
      <c r="Z103" s="4">
        <f t="shared" si="72"/>
        <v>7124000</v>
      </c>
      <c r="AA103" s="4">
        <f t="shared" si="68"/>
        <v>1389245</v>
      </c>
      <c r="AB103" s="8">
        <f t="shared" si="69"/>
        <v>926250</v>
      </c>
      <c r="AC103" s="4">
        <f t="shared" si="70"/>
        <v>463190</v>
      </c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</row>
    <row r="104" spans="1:61" s="37" customFormat="1" ht="27.6" customHeight="1" x14ac:dyDescent="0.2">
      <c r="A104" s="9">
        <v>95</v>
      </c>
      <c r="B104" s="58" t="s">
        <v>224</v>
      </c>
      <c r="C104" s="9" t="s">
        <v>193</v>
      </c>
      <c r="D104" s="59">
        <v>6822000</v>
      </c>
      <c r="E104" s="9"/>
      <c r="F104" s="9"/>
      <c r="G104" s="62"/>
      <c r="H104" s="54">
        <v>6.5</v>
      </c>
      <c r="I104" s="34"/>
      <c r="J104" s="34">
        <v>0</v>
      </c>
      <c r="K104" s="34">
        <v>6822000</v>
      </c>
      <c r="L104" s="8">
        <f t="shared" si="63"/>
        <v>6822000</v>
      </c>
      <c r="M104" s="8">
        <v>4092000</v>
      </c>
      <c r="N104" s="8">
        <f t="shared" si="64"/>
        <v>2727000</v>
      </c>
      <c r="O104" s="18"/>
      <c r="P104" s="18">
        <v>0</v>
      </c>
      <c r="Q104" s="18">
        <v>0</v>
      </c>
      <c r="R104" s="4">
        <v>1365000</v>
      </c>
      <c r="S104" s="8">
        <f t="shared" si="73"/>
        <v>1362000</v>
      </c>
      <c r="T104" s="4">
        <f t="shared" si="66"/>
        <v>1365000</v>
      </c>
      <c r="U104" s="4">
        <f t="shared" si="67"/>
        <v>1365000</v>
      </c>
      <c r="V104" s="91"/>
      <c r="W104" s="92">
        <v>64388</v>
      </c>
      <c r="X104" s="4">
        <v>443430</v>
      </c>
      <c r="Y104" s="4">
        <v>444343</v>
      </c>
      <c r="Z104" s="4">
        <f t="shared" si="72"/>
        <v>1365000</v>
      </c>
      <c r="AA104" s="4">
        <f t="shared" si="68"/>
        <v>265980</v>
      </c>
      <c r="AB104" s="8">
        <f t="shared" si="69"/>
        <v>177255</v>
      </c>
      <c r="AC104" s="4">
        <f t="shared" si="70"/>
        <v>88530</v>
      </c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</row>
    <row r="105" spans="1:61" s="37" customFormat="1" ht="27.6" customHeight="1" x14ac:dyDescent="0.2">
      <c r="A105" s="9">
        <v>96</v>
      </c>
      <c r="B105" s="58" t="s">
        <v>229</v>
      </c>
      <c r="C105" s="9" t="s">
        <v>193</v>
      </c>
      <c r="D105" s="59">
        <v>14377000</v>
      </c>
      <c r="E105" s="9"/>
      <c r="F105" s="9"/>
      <c r="G105" s="62"/>
      <c r="H105" s="54">
        <v>6.5</v>
      </c>
      <c r="I105" s="34"/>
      <c r="J105" s="34">
        <v>0</v>
      </c>
      <c r="K105" s="34">
        <v>14377000</v>
      </c>
      <c r="L105" s="8">
        <f t="shared" si="63"/>
        <v>14377000</v>
      </c>
      <c r="M105" s="8">
        <v>8627000</v>
      </c>
      <c r="N105" s="8">
        <f t="shared" si="64"/>
        <v>5752000</v>
      </c>
      <c r="O105" s="18"/>
      <c r="P105" s="18">
        <v>0</v>
      </c>
      <c r="Q105" s="18">
        <v>0</v>
      </c>
      <c r="R105" s="4">
        <v>2875000</v>
      </c>
      <c r="S105" s="8">
        <f t="shared" si="73"/>
        <v>2877000</v>
      </c>
      <c r="T105" s="4">
        <f t="shared" si="66"/>
        <v>2875000</v>
      </c>
      <c r="U105" s="4">
        <f t="shared" si="67"/>
        <v>2875000</v>
      </c>
      <c r="V105" s="91"/>
      <c r="W105" s="92">
        <v>87050</v>
      </c>
      <c r="X105" s="4">
        <v>934505</v>
      </c>
      <c r="Y105" s="4">
        <v>936429</v>
      </c>
      <c r="Z105" s="4">
        <v>2877000</v>
      </c>
      <c r="AA105" s="4">
        <f t="shared" si="68"/>
        <v>560755</v>
      </c>
      <c r="AB105" s="8">
        <f t="shared" si="69"/>
        <v>373880</v>
      </c>
      <c r="AC105" s="4">
        <f t="shared" si="70"/>
        <v>187005</v>
      </c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</row>
    <row r="106" spans="1:61" s="37" customFormat="1" ht="27.6" customHeight="1" x14ac:dyDescent="0.2">
      <c r="A106" s="9">
        <v>97</v>
      </c>
      <c r="B106" s="58" t="s">
        <v>230</v>
      </c>
      <c r="C106" s="9" t="s">
        <v>193</v>
      </c>
      <c r="D106" s="59">
        <v>5041000</v>
      </c>
      <c r="E106" s="9"/>
      <c r="F106" s="9"/>
      <c r="G106" s="62"/>
      <c r="H106" s="54">
        <v>6.5</v>
      </c>
      <c r="I106" s="34"/>
      <c r="J106" s="34">
        <v>0</v>
      </c>
      <c r="K106" s="34">
        <v>5041000</v>
      </c>
      <c r="L106" s="8">
        <f t="shared" si="63"/>
        <v>5041000</v>
      </c>
      <c r="M106" s="8">
        <v>3024600</v>
      </c>
      <c r="N106" s="8">
        <f t="shared" si="64"/>
        <v>2016400</v>
      </c>
      <c r="O106" s="18"/>
      <c r="P106" s="18">
        <v>0</v>
      </c>
      <c r="Q106" s="18">
        <v>0</v>
      </c>
      <c r="R106" s="4">
        <v>1008200</v>
      </c>
      <c r="S106" s="8">
        <f t="shared" si="73"/>
        <v>1008200</v>
      </c>
      <c r="T106" s="4">
        <f t="shared" si="66"/>
        <v>1008200</v>
      </c>
      <c r="U106" s="4">
        <f t="shared" si="67"/>
        <v>1008200</v>
      </c>
      <c r="V106" s="91"/>
      <c r="W106" s="92">
        <v>8079</v>
      </c>
      <c r="X106" s="4">
        <v>327665</v>
      </c>
      <c r="Y106" s="4">
        <v>328340</v>
      </c>
      <c r="Z106" s="4">
        <f t="shared" si="72"/>
        <v>1008200</v>
      </c>
      <c r="AA106" s="4">
        <f t="shared" si="68"/>
        <v>196599</v>
      </c>
      <c r="AB106" s="8">
        <f t="shared" si="69"/>
        <v>131066</v>
      </c>
      <c r="AC106" s="4">
        <f t="shared" si="70"/>
        <v>65533</v>
      </c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</row>
    <row r="107" spans="1:61" s="37" customFormat="1" ht="27.6" customHeight="1" x14ac:dyDescent="0.2">
      <c r="A107" s="9">
        <v>98</v>
      </c>
      <c r="B107" s="58" t="s">
        <v>227</v>
      </c>
      <c r="C107" s="9" t="s">
        <v>193</v>
      </c>
      <c r="D107" s="59">
        <v>6423000</v>
      </c>
      <c r="E107" s="9"/>
      <c r="F107" s="9"/>
      <c r="G107" s="62"/>
      <c r="H107" s="54">
        <v>6.5</v>
      </c>
      <c r="I107" s="34"/>
      <c r="J107" s="34">
        <v>0</v>
      </c>
      <c r="K107" s="34">
        <v>6423000</v>
      </c>
      <c r="L107" s="8">
        <f t="shared" si="63"/>
        <v>6423000</v>
      </c>
      <c r="M107" s="8">
        <v>3853800</v>
      </c>
      <c r="N107" s="8">
        <f t="shared" si="64"/>
        <v>2569200</v>
      </c>
      <c r="O107" s="18"/>
      <c r="P107" s="18">
        <v>0</v>
      </c>
      <c r="Q107" s="18">
        <v>0</v>
      </c>
      <c r="R107" s="4">
        <v>1284600</v>
      </c>
      <c r="S107" s="8">
        <f t="shared" si="73"/>
        <v>1284600</v>
      </c>
      <c r="T107" s="4">
        <f t="shared" si="66"/>
        <v>1284600</v>
      </c>
      <c r="U107" s="4">
        <f t="shared" si="67"/>
        <v>1284600</v>
      </c>
      <c r="V107" s="91"/>
      <c r="W107" s="92">
        <v>2288</v>
      </c>
      <c r="X107" s="4">
        <v>417495</v>
      </c>
      <c r="Y107" s="4">
        <v>418354</v>
      </c>
      <c r="Z107" s="4">
        <f t="shared" si="72"/>
        <v>1284600</v>
      </c>
      <c r="AA107" s="4">
        <f t="shared" si="68"/>
        <v>250497</v>
      </c>
      <c r="AB107" s="8">
        <f t="shared" si="69"/>
        <v>166998</v>
      </c>
      <c r="AC107" s="4">
        <f t="shared" si="70"/>
        <v>83499</v>
      </c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</row>
    <row r="108" spans="1:61" s="37" customFormat="1" ht="27.6" customHeight="1" x14ac:dyDescent="0.2">
      <c r="A108" s="9">
        <v>99</v>
      </c>
      <c r="B108" s="58" t="s">
        <v>227</v>
      </c>
      <c r="C108" s="9" t="s">
        <v>193</v>
      </c>
      <c r="D108" s="59">
        <v>12008000</v>
      </c>
      <c r="E108" s="9"/>
      <c r="F108" s="9"/>
      <c r="G108" s="62"/>
      <c r="H108" s="54">
        <v>6.5</v>
      </c>
      <c r="I108" s="34"/>
      <c r="J108" s="34">
        <v>0</v>
      </c>
      <c r="K108" s="34">
        <v>12008000</v>
      </c>
      <c r="L108" s="8">
        <f t="shared" si="63"/>
        <v>12008000</v>
      </c>
      <c r="M108" s="8">
        <v>7204800</v>
      </c>
      <c r="N108" s="8">
        <f t="shared" si="64"/>
        <v>4803200</v>
      </c>
      <c r="O108" s="18"/>
      <c r="P108" s="18">
        <v>0</v>
      </c>
      <c r="Q108" s="18">
        <v>0</v>
      </c>
      <c r="R108" s="4">
        <v>2401600</v>
      </c>
      <c r="S108" s="8">
        <f t="shared" si="73"/>
        <v>2401600</v>
      </c>
      <c r="T108" s="4">
        <f t="shared" si="66"/>
        <v>2401600</v>
      </c>
      <c r="U108" s="4">
        <f t="shared" si="67"/>
        <v>2401600</v>
      </c>
      <c r="V108" s="91"/>
      <c r="W108" s="92">
        <v>4277</v>
      </c>
      <c r="X108" s="4">
        <v>780520</v>
      </c>
      <c r="Y108" s="4">
        <v>782127</v>
      </c>
      <c r="Z108" s="4">
        <f t="shared" si="72"/>
        <v>2401600</v>
      </c>
      <c r="AA108" s="4">
        <f t="shared" si="68"/>
        <v>468312</v>
      </c>
      <c r="AB108" s="8">
        <f t="shared" si="69"/>
        <v>312208</v>
      </c>
      <c r="AC108" s="4">
        <f t="shared" si="70"/>
        <v>156104</v>
      </c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</row>
    <row r="109" spans="1:61" s="37" customFormat="1" ht="27.6" customHeight="1" x14ac:dyDescent="0.2">
      <c r="A109" s="9">
        <v>100</v>
      </c>
      <c r="B109" s="58" t="s">
        <v>329</v>
      </c>
      <c r="C109" s="9" t="s">
        <v>193</v>
      </c>
      <c r="D109" s="59">
        <v>10132000</v>
      </c>
      <c r="E109" s="9"/>
      <c r="F109" s="9"/>
      <c r="G109" s="62"/>
      <c r="H109" s="54">
        <v>6.5</v>
      </c>
      <c r="I109" s="34"/>
      <c r="J109" s="34"/>
      <c r="K109" s="34">
        <v>10132000</v>
      </c>
      <c r="L109" s="8">
        <v>10132000</v>
      </c>
      <c r="M109" s="8">
        <v>8105600</v>
      </c>
      <c r="N109" s="8">
        <f t="shared" si="64"/>
        <v>6079200</v>
      </c>
      <c r="O109" s="18"/>
      <c r="P109" s="18"/>
      <c r="Q109" s="18">
        <v>0</v>
      </c>
      <c r="R109" s="4">
        <f>Q109</f>
        <v>0</v>
      </c>
      <c r="S109" s="8">
        <f t="shared" si="73"/>
        <v>4052800</v>
      </c>
      <c r="T109" s="4">
        <v>2026400</v>
      </c>
      <c r="U109" s="4">
        <f>T109</f>
        <v>2026400</v>
      </c>
      <c r="V109" s="91"/>
      <c r="W109" s="92"/>
      <c r="X109" s="4">
        <v>658580</v>
      </c>
      <c r="Y109" s="4">
        <v>658580</v>
      </c>
      <c r="Z109" s="4">
        <f t="shared" si="72"/>
        <v>2026400</v>
      </c>
      <c r="AA109" s="4">
        <f t="shared" si="68"/>
        <v>526864</v>
      </c>
      <c r="AB109" s="8">
        <f t="shared" si="69"/>
        <v>395148</v>
      </c>
      <c r="AC109" s="4">
        <f t="shared" si="70"/>
        <v>263432</v>
      </c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</row>
    <row r="110" spans="1:61" s="37" customFormat="1" ht="27.6" customHeight="1" x14ac:dyDescent="0.2">
      <c r="A110" s="9">
        <v>101</v>
      </c>
      <c r="B110" s="58" t="s">
        <v>330</v>
      </c>
      <c r="C110" s="9" t="s">
        <v>193</v>
      </c>
      <c r="D110" s="59">
        <v>2455000</v>
      </c>
      <c r="E110" s="9"/>
      <c r="F110" s="9"/>
      <c r="G110" s="62"/>
      <c r="H110" s="54">
        <v>6.5</v>
      </c>
      <c r="I110" s="34"/>
      <c r="J110" s="34"/>
      <c r="K110" s="34">
        <v>2455000</v>
      </c>
      <c r="L110" s="8">
        <v>2455000</v>
      </c>
      <c r="M110" s="8">
        <v>1964000</v>
      </c>
      <c r="N110" s="8">
        <f t="shared" si="64"/>
        <v>1473000</v>
      </c>
      <c r="O110" s="18"/>
      <c r="P110" s="18"/>
      <c r="Q110" s="18">
        <v>0</v>
      </c>
      <c r="R110" s="4">
        <f>Q110</f>
        <v>0</v>
      </c>
      <c r="S110" s="8">
        <f t="shared" si="73"/>
        <v>982000</v>
      </c>
      <c r="T110" s="4">
        <v>491000</v>
      </c>
      <c r="U110" s="4">
        <f t="shared" si="67"/>
        <v>491000</v>
      </c>
      <c r="V110" s="91"/>
      <c r="W110" s="92"/>
      <c r="X110" s="4">
        <v>159575</v>
      </c>
      <c r="Y110" s="4">
        <v>159575</v>
      </c>
      <c r="Z110" s="4">
        <f t="shared" si="72"/>
        <v>491000</v>
      </c>
      <c r="AA110" s="4">
        <f t="shared" si="68"/>
        <v>127660</v>
      </c>
      <c r="AB110" s="8">
        <f t="shared" si="69"/>
        <v>95745</v>
      </c>
      <c r="AC110" s="4">
        <f t="shared" si="70"/>
        <v>63830</v>
      </c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</row>
    <row r="111" spans="1:61" s="37" customFormat="1" ht="27.6" customHeight="1" x14ac:dyDescent="0.2">
      <c r="A111" s="9">
        <v>102</v>
      </c>
      <c r="B111" s="58" t="s">
        <v>331</v>
      </c>
      <c r="C111" s="9" t="s">
        <v>193</v>
      </c>
      <c r="D111" s="59">
        <v>22254000</v>
      </c>
      <c r="E111" s="9"/>
      <c r="F111" s="9"/>
      <c r="G111" s="62"/>
      <c r="H111" s="54">
        <v>6.5</v>
      </c>
      <c r="I111" s="34"/>
      <c r="J111" s="34"/>
      <c r="K111" s="34">
        <v>22254000</v>
      </c>
      <c r="L111" s="8">
        <v>22254000</v>
      </c>
      <c r="M111" s="8">
        <v>17803200</v>
      </c>
      <c r="N111" s="8">
        <f t="shared" si="64"/>
        <v>13352400</v>
      </c>
      <c r="O111" s="18"/>
      <c r="P111" s="18"/>
      <c r="Q111" s="18">
        <v>0</v>
      </c>
      <c r="R111" s="4">
        <f>Q111</f>
        <v>0</v>
      </c>
      <c r="S111" s="8">
        <f t="shared" si="73"/>
        <v>8901600</v>
      </c>
      <c r="T111" s="4">
        <v>4450800</v>
      </c>
      <c r="U111" s="4">
        <f t="shared" si="67"/>
        <v>4450800</v>
      </c>
      <c r="V111" s="91"/>
      <c r="W111" s="92"/>
      <c r="X111" s="4">
        <v>1446510</v>
      </c>
      <c r="Y111" s="4">
        <v>1446510</v>
      </c>
      <c r="Z111" s="4">
        <f t="shared" si="72"/>
        <v>4450800</v>
      </c>
      <c r="AA111" s="4">
        <f t="shared" si="68"/>
        <v>1157208</v>
      </c>
      <c r="AB111" s="8">
        <f t="shared" si="69"/>
        <v>867906</v>
      </c>
      <c r="AC111" s="4">
        <f t="shared" si="70"/>
        <v>578604</v>
      </c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</row>
    <row r="112" spans="1:61" s="37" customFormat="1" ht="27.6" customHeight="1" x14ac:dyDescent="0.2">
      <c r="A112" s="9">
        <v>103</v>
      </c>
      <c r="B112" s="58" t="s">
        <v>332</v>
      </c>
      <c r="C112" s="9" t="s">
        <v>193</v>
      </c>
      <c r="D112" s="59">
        <v>134887000</v>
      </c>
      <c r="E112" s="9"/>
      <c r="F112" s="9"/>
      <c r="G112" s="62"/>
      <c r="H112" s="54">
        <v>6.5</v>
      </c>
      <c r="I112" s="34"/>
      <c r="J112" s="34"/>
      <c r="K112" s="34">
        <v>134887000</v>
      </c>
      <c r="L112" s="8">
        <v>134887000</v>
      </c>
      <c r="M112" s="8">
        <v>107909600</v>
      </c>
      <c r="N112" s="8">
        <f t="shared" si="64"/>
        <v>80932200</v>
      </c>
      <c r="O112" s="18"/>
      <c r="P112" s="18"/>
      <c r="Q112" s="18">
        <v>0</v>
      </c>
      <c r="R112" s="4">
        <f>Q112</f>
        <v>0</v>
      </c>
      <c r="S112" s="8">
        <f t="shared" si="73"/>
        <v>53954800</v>
      </c>
      <c r="T112" s="4">
        <v>26977400</v>
      </c>
      <c r="U112" s="4">
        <f t="shared" si="67"/>
        <v>26977400</v>
      </c>
      <c r="V112" s="91"/>
      <c r="W112" s="92"/>
      <c r="X112" s="4">
        <v>8767655</v>
      </c>
      <c r="Y112" s="4">
        <v>8767655</v>
      </c>
      <c r="Z112" s="4">
        <f t="shared" si="72"/>
        <v>26977400</v>
      </c>
      <c r="AA112" s="4">
        <f t="shared" si="68"/>
        <v>7014124</v>
      </c>
      <c r="AB112" s="8">
        <f t="shared" si="69"/>
        <v>5260593</v>
      </c>
      <c r="AC112" s="4">
        <f t="shared" si="70"/>
        <v>3507062</v>
      </c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</row>
    <row r="113" spans="1:61" s="37" customFormat="1" ht="27.6" customHeight="1" x14ac:dyDescent="0.2">
      <c r="A113" s="9">
        <v>104</v>
      </c>
      <c r="B113" s="58" t="s">
        <v>333</v>
      </c>
      <c r="C113" s="9" t="s">
        <v>193</v>
      </c>
      <c r="D113" s="59">
        <v>6748000</v>
      </c>
      <c r="E113" s="9"/>
      <c r="F113" s="9"/>
      <c r="G113" s="62"/>
      <c r="H113" s="54">
        <v>6.5</v>
      </c>
      <c r="I113" s="34"/>
      <c r="J113" s="34"/>
      <c r="K113" s="34">
        <v>6748000</v>
      </c>
      <c r="L113" s="8">
        <v>6748000</v>
      </c>
      <c r="M113" s="8">
        <v>5398400</v>
      </c>
      <c r="N113" s="8">
        <f t="shared" si="64"/>
        <v>4048800</v>
      </c>
      <c r="O113" s="18"/>
      <c r="P113" s="18"/>
      <c r="Q113" s="18">
        <v>0</v>
      </c>
      <c r="R113" s="4">
        <f>Q113</f>
        <v>0</v>
      </c>
      <c r="S113" s="8">
        <f t="shared" si="73"/>
        <v>2699200</v>
      </c>
      <c r="T113" s="4">
        <v>1349600</v>
      </c>
      <c r="U113" s="4">
        <f t="shared" si="67"/>
        <v>1349600</v>
      </c>
      <c r="V113" s="91"/>
      <c r="W113" s="92"/>
      <c r="X113" s="4">
        <v>438620</v>
      </c>
      <c r="Y113" s="4">
        <v>438620</v>
      </c>
      <c r="Z113" s="4">
        <f t="shared" si="72"/>
        <v>1349600</v>
      </c>
      <c r="AA113" s="4">
        <f t="shared" si="68"/>
        <v>350896</v>
      </c>
      <c r="AB113" s="8">
        <f t="shared" si="69"/>
        <v>263172</v>
      </c>
      <c r="AC113" s="4">
        <f t="shared" si="70"/>
        <v>175448</v>
      </c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</row>
    <row r="114" spans="1:61" s="95" customFormat="1" ht="27.6" customHeight="1" x14ac:dyDescent="0.2">
      <c r="A114" s="9">
        <v>105</v>
      </c>
      <c r="B114" s="58" t="s">
        <v>357</v>
      </c>
      <c r="C114" s="9" t="s">
        <v>193</v>
      </c>
      <c r="D114" s="59">
        <v>91418000</v>
      </c>
      <c r="E114" s="9"/>
      <c r="F114" s="9"/>
      <c r="G114" s="62"/>
      <c r="H114" s="54">
        <v>6.5</v>
      </c>
      <c r="I114" s="34"/>
      <c r="J114" s="34"/>
      <c r="K114" s="34">
        <v>91418000</v>
      </c>
      <c r="L114" s="8">
        <f t="shared" ref="L114:L121" si="74">D114</f>
        <v>91418000</v>
      </c>
      <c r="M114" s="8">
        <v>73134400</v>
      </c>
      <c r="N114" s="8">
        <f t="shared" si="64"/>
        <v>54850800</v>
      </c>
      <c r="O114" s="18"/>
      <c r="P114" s="18"/>
      <c r="Q114" s="18">
        <v>0</v>
      </c>
      <c r="R114" s="4">
        <v>0</v>
      </c>
      <c r="S114" s="8">
        <f t="shared" si="73"/>
        <v>36567200</v>
      </c>
      <c r="T114" s="4">
        <v>18283600</v>
      </c>
      <c r="U114" s="4">
        <f t="shared" si="67"/>
        <v>18283600</v>
      </c>
      <c r="V114" s="91"/>
      <c r="W114" s="92"/>
      <c r="X114" s="4">
        <v>5942170</v>
      </c>
      <c r="Y114" s="4">
        <v>5942170</v>
      </c>
      <c r="Z114" s="4">
        <f t="shared" si="72"/>
        <v>18283600</v>
      </c>
      <c r="AA114" s="4">
        <f t="shared" si="68"/>
        <v>4753736</v>
      </c>
      <c r="AB114" s="8">
        <f t="shared" si="69"/>
        <v>3565302</v>
      </c>
      <c r="AC114" s="4">
        <f t="shared" si="70"/>
        <v>2376868</v>
      </c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</row>
    <row r="115" spans="1:61" s="95" customFormat="1" ht="27.6" customHeight="1" x14ac:dyDescent="0.2">
      <c r="A115" s="9">
        <v>106</v>
      </c>
      <c r="B115" s="58" t="s">
        <v>360</v>
      </c>
      <c r="C115" s="9" t="s">
        <v>193</v>
      </c>
      <c r="D115" s="59">
        <v>33828000</v>
      </c>
      <c r="E115" s="9"/>
      <c r="F115" s="9"/>
      <c r="G115" s="62"/>
      <c r="H115" s="54">
        <v>6.5</v>
      </c>
      <c r="I115" s="34"/>
      <c r="J115" s="34"/>
      <c r="K115" s="34">
        <v>33828000</v>
      </c>
      <c r="L115" s="8">
        <f t="shared" si="74"/>
        <v>33828000</v>
      </c>
      <c r="M115" s="8">
        <v>27062400</v>
      </c>
      <c r="N115" s="8">
        <f t="shared" si="64"/>
        <v>20296800</v>
      </c>
      <c r="O115" s="18"/>
      <c r="P115" s="18"/>
      <c r="Q115" s="18">
        <v>0</v>
      </c>
      <c r="R115" s="4">
        <v>0</v>
      </c>
      <c r="S115" s="8">
        <f t="shared" si="73"/>
        <v>13531200</v>
      </c>
      <c r="T115" s="4">
        <v>6765600</v>
      </c>
      <c r="U115" s="4">
        <f t="shared" si="67"/>
        <v>6765600</v>
      </c>
      <c r="V115" s="91"/>
      <c r="W115" s="92"/>
      <c r="X115" s="4">
        <v>2198820</v>
      </c>
      <c r="Y115" s="4">
        <v>2198820</v>
      </c>
      <c r="Z115" s="4">
        <f t="shared" si="72"/>
        <v>6765600</v>
      </c>
      <c r="AA115" s="4">
        <f t="shared" si="68"/>
        <v>1759056</v>
      </c>
      <c r="AB115" s="8">
        <f t="shared" si="69"/>
        <v>1319292</v>
      </c>
      <c r="AC115" s="4">
        <f t="shared" si="70"/>
        <v>879528</v>
      </c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</row>
    <row r="116" spans="1:61" s="95" customFormat="1" ht="27.6" customHeight="1" x14ac:dyDescent="0.2">
      <c r="A116" s="9">
        <v>107</v>
      </c>
      <c r="B116" s="58" t="s">
        <v>364</v>
      </c>
      <c r="C116" s="9" t="s">
        <v>193</v>
      </c>
      <c r="D116" s="59">
        <v>39383000</v>
      </c>
      <c r="E116" s="9"/>
      <c r="F116" s="9"/>
      <c r="G116" s="62"/>
      <c r="H116" s="54">
        <v>6.5</v>
      </c>
      <c r="I116" s="34"/>
      <c r="J116" s="34"/>
      <c r="K116" s="34">
        <v>39383000</v>
      </c>
      <c r="L116" s="8">
        <f t="shared" si="74"/>
        <v>39383000</v>
      </c>
      <c r="M116" s="8">
        <v>31506400</v>
      </c>
      <c r="N116" s="8">
        <f t="shared" si="64"/>
        <v>23629800</v>
      </c>
      <c r="O116" s="18"/>
      <c r="P116" s="18"/>
      <c r="Q116" s="18">
        <v>0</v>
      </c>
      <c r="R116" s="4">
        <v>0</v>
      </c>
      <c r="S116" s="8">
        <f t="shared" si="73"/>
        <v>15753200</v>
      </c>
      <c r="T116" s="4">
        <v>7876600</v>
      </c>
      <c r="U116" s="4">
        <f t="shared" si="67"/>
        <v>7876600</v>
      </c>
      <c r="V116" s="91"/>
      <c r="W116" s="92"/>
      <c r="X116" s="4">
        <v>2559895</v>
      </c>
      <c r="Y116" s="4">
        <v>2559895</v>
      </c>
      <c r="Z116" s="4">
        <f t="shared" si="72"/>
        <v>7876600</v>
      </c>
      <c r="AA116" s="4">
        <f t="shared" si="68"/>
        <v>2047916</v>
      </c>
      <c r="AB116" s="8">
        <f t="shared" si="69"/>
        <v>1535937</v>
      </c>
      <c r="AC116" s="4">
        <f t="shared" si="70"/>
        <v>1023958</v>
      </c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</row>
    <row r="117" spans="1:61" s="95" customFormat="1" ht="27.6" customHeight="1" x14ac:dyDescent="0.2">
      <c r="A117" s="9">
        <v>108</v>
      </c>
      <c r="B117" s="58" t="s">
        <v>365</v>
      </c>
      <c r="C117" s="9" t="s">
        <v>193</v>
      </c>
      <c r="D117" s="59">
        <v>25441000</v>
      </c>
      <c r="E117" s="9"/>
      <c r="F117" s="9"/>
      <c r="G117" s="62"/>
      <c r="H117" s="54">
        <v>6.5</v>
      </c>
      <c r="I117" s="34"/>
      <c r="J117" s="34"/>
      <c r="K117" s="34">
        <v>25441000</v>
      </c>
      <c r="L117" s="8">
        <f t="shared" si="74"/>
        <v>25441000</v>
      </c>
      <c r="M117" s="8">
        <v>20352800</v>
      </c>
      <c r="N117" s="8">
        <f t="shared" si="64"/>
        <v>15264600</v>
      </c>
      <c r="O117" s="18"/>
      <c r="P117" s="18"/>
      <c r="Q117" s="18">
        <v>0</v>
      </c>
      <c r="R117" s="4">
        <v>0</v>
      </c>
      <c r="S117" s="8">
        <f t="shared" si="73"/>
        <v>10176400</v>
      </c>
      <c r="T117" s="4">
        <v>5088200</v>
      </c>
      <c r="U117" s="4">
        <f t="shared" si="67"/>
        <v>5088200</v>
      </c>
      <c r="V117" s="91"/>
      <c r="W117" s="92"/>
      <c r="X117" s="4">
        <v>1653665</v>
      </c>
      <c r="Y117" s="4">
        <v>1653665</v>
      </c>
      <c r="Z117" s="4">
        <f t="shared" si="72"/>
        <v>5088200</v>
      </c>
      <c r="AA117" s="4">
        <f t="shared" si="68"/>
        <v>1322932</v>
      </c>
      <c r="AB117" s="8">
        <f t="shared" si="69"/>
        <v>992199</v>
      </c>
      <c r="AC117" s="4">
        <f t="shared" si="70"/>
        <v>661466</v>
      </c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</row>
    <row r="118" spans="1:61" s="95" customFormat="1" ht="27.6" customHeight="1" x14ac:dyDescent="0.2">
      <c r="A118" s="9">
        <v>109</v>
      </c>
      <c r="B118" s="58" t="s">
        <v>383</v>
      </c>
      <c r="C118" s="9" t="s">
        <v>193</v>
      </c>
      <c r="D118" s="59">
        <v>3335000</v>
      </c>
      <c r="E118" s="9"/>
      <c r="F118" s="9"/>
      <c r="G118" s="62"/>
      <c r="H118" s="54">
        <v>6.5</v>
      </c>
      <c r="I118" s="34"/>
      <c r="J118" s="34"/>
      <c r="K118" s="34">
        <v>0</v>
      </c>
      <c r="L118" s="8">
        <f t="shared" si="74"/>
        <v>3335000</v>
      </c>
      <c r="M118" s="8">
        <v>3335000</v>
      </c>
      <c r="N118" s="8">
        <f>M118-T118</f>
        <v>2668000</v>
      </c>
      <c r="O118" s="18"/>
      <c r="P118" s="18"/>
      <c r="Q118" s="18">
        <v>0</v>
      </c>
      <c r="R118" s="4">
        <v>0</v>
      </c>
      <c r="S118" s="8">
        <f t="shared" si="73"/>
        <v>2001000</v>
      </c>
      <c r="T118" s="4">
        <f>U118</f>
        <v>667000</v>
      </c>
      <c r="U118" s="4">
        <f t="shared" ref="U118:U123" si="75">M118/5</f>
        <v>667000</v>
      </c>
      <c r="V118" s="91"/>
      <c r="W118" s="92"/>
      <c r="X118" s="4">
        <v>193019</v>
      </c>
      <c r="Y118" s="4">
        <v>216775</v>
      </c>
      <c r="Z118" s="4">
        <f t="shared" si="72"/>
        <v>667000</v>
      </c>
      <c r="AA118" s="4">
        <f t="shared" ref="AA118:AA123" si="76">M118*6.5/100</f>
        <v>216775</v>
      </c>
      <c r="AB118" s="8">
        <f t="shared" si="69"/>
        <v>173420</v>
      </c>
      <c r="AC118" s="4">
        <f t="shared" si="70"/>
        <v>130065</v>
      </c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</row>
    <row r="119" spans="1:61" s="95" customFormat="1" ht="27.6" customHeight="1" x14ac:dyDescent="0.2">
      <c r="A119" s="9">
        <v>110</v>
      </c>
      <c r="B119" s="58" t="s">
        <v>385</v>
      </c>
      <c r="C119" s="9" t="s">
        <v>193</v>
      </c>
      <c r="D119" s="59">
        <v>60600000</v>
      </c>
      <c r="E119" s="9"/>
      <c r="F119" s="9"/>
      <c r="G119" s="62"/>
      <c r="H119" s="54">
        <v>6.5</v>
      </c>
      <c r="I119" s="34"/>
      <c r="J119" s="34"/>
      <c r="K119" s="34">
        <v>0</v>
      </c>
      <c r="L119" s="8">
        <f t="shared" si="74"/>
        <v>60600000</v>
      </c>
      <c r="M119" s="8">
        <f t="shared" ref="M119:M123" si="77">L119-R119</f>
        <v>60600000</v>
      </c>
      <c r="N119" s="8">
        <f t="shared" ref="N119:N133" si="78">M119-T119</f>
        <v>48480000</v>
      </c>
      <c r="O119" s="18"/>
      <c r="P119" s="18"/>
      <c r="Q119" s="18">
        <v>0</v>
      </c>
      <c r="R119" s="4">
        <v>0</v>
      </c>
      <c r="S119" s="8">
        <f t="shared" si="73"/>
        <v>36360000</v>
      </c>
      <c r="T119" s="4">
        <f t="shared" ref="T119:T123" si="79">U119</f>
        <v>12120000</v>
      </c>
      <c r="U119" s="4">
        <f t="shared" si="75"/>
        <v>12120000</v>
      </c>
      <c r="V119" s="91"/>
      <c r="W119" s="92"/>
      <c r="X119" s="4">
        <v>3205159</v>
      </c>
      <c r="Y119" s="4">
        <v>3939000</v>
      </c>
      <c r="Z119" s="4">
        <f t="shared" si="72"/>
        <v>12120000</v>
      </c>
      <c r="AA119" s="4">
        <f t="shared" si="76"/>
        <v>3939000</v>
      </c>
      <c r="AB119" s="8">
        <f t="shared" si="69"/>
        <v>3151200</v>
      </c>
      <c r="AC119" s="4">
        <f t="shared" si="70"/>
        <v>2363400</v>
      </c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</row>
    <row r="120" spans="1:61" s="95" customFormat="1" ht="27.6" customHeight="1" x14ac:dyDescent="0.2">
      <c r="A120" s="9">
        <v>111</v>
      </c>
      <c r="B120" s="58" t="s">
        <v>396</v>
      </c>
      <c r="C120" s="9" t="s">
        <v>193</v>
      </c>
      <c r="D120" s="59">
        <v>10515000</v>
      </c>
      <c r="E120" s="9"/>
      <c r="F120" s="9"/>
      <c r="G120" s="62"/>
      <c r="H120" s="54">
        <v>6.5</v>
      </c>
      <c r="I120" s="34"/>
      <c r="J120" s="34"/>
      <c r="K120" s="34">
        <v>0</v>
      </c>
      <c r="L120" s="8">
        <f t="shared" si="74"/>
        <v>10515000</v>
      </c>
      <c r="M120" s="8">
        <f t="shared" si="77"/>
        <v>10515000</v>
      </c>
      <c r="N120" s="8">
        <f t="shared" si="78"/>
        <v>8412000</v>
      </c>
      <c r="O120" s="18"/>
      <c r="P120" s="18"/>
      <c r="Q120" s="18">
        <v>0</v>
      </c>
      <c r="R120" s="4">
        <v>0</v>
      </c>
      <c r="S120" s="8">
        <f t="shared" si="73"/>
        <v>6309000</v>
      </c>
      <c r="T120" s="4">
        <f t="shared" si="79"/>
        <v>2103000</v>
      </c>
      <c r="U120" s="4">
        <f t="shared" si="75"/>
        <v>2103000</v>
      </c>
      <c r="V120" s="91"/>
      <c r="W120" s="92"/>
      <c r="X120" s="4">
        <v>411958</v>
      </c>
      <c r="Y120" s="4">
        <v>683475</v>
      </c>
      <c r="Z120" s="4">
        <f t="shared" si="72"/>
        <v>2103000</v>
      </c>
      <c r="AA120" s="4">
        <f t="shared" si="76"/>
        <v>683475</v>
      </c>
      <c r="AB120" s="8">
        <f t="shared" si="69"/>
        <v>546780</v>
      </c>
      <c r="AC120" s="4">
        <f t="shared" si="70"/>
        <v>410085</v>
      </c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</row>
    <row r="121" spans="1:61" s="95" customFormat="1" ht="27.6" customHeight="1" x14ac:dyDescent="0.2">
      <c r="A121" s="9">
        <v>112</v>
      </c>
      <c r="B121" s="58" t="s">
        <v>414</v>
      </c>
      <c r="C121" s="9" t="s">
        <v>193</v>
      </c>
      <c r="D121" s="59">
        <v>20513000</v>
      </c>
      <c r="E121" s="9"/>
      <c r="F121" s="9"/>
      <c r="G121" s="62"/>
      <c r="H121" s="54">
        <v>6.5</v>
      </c>
      <c r="I121" s="34"/>
      <c r="J121" s="34"/>
      <c r="K121" s="34">
        <v>0</v>
      </c>
      <c r="L121" s="8">
        <f t="shared" si="74"/>
        <v>20513000</v>
      </c>
      <c r="M121" s="8">
        <f t="shared" si="77"/>
        <v>20513000</v>
      </c>
      <c r="N121" s="8">
        <f t="shared" si="78"/>
        <v>16410400</v>
      </c>
      <c r="O121" s="18"/>
      <c r="P121" s="18"/>
      <c r="Q121" s="18">
        <v>0</v>
      </c>
      <c r="R121" s="4">
        <v>0</v>
      </c>
      <c r="S121" s="8">
        <f t="shared" si="73"/>
        <v>12307800</v>
      </c>
      <c r="T121" s="4">
        <f t="shared" si="79"/>
        <v>4102600</v>
      </c>
      <c r="U121" s="4">
        <f t="shared" si="75"/>
        <v>4102600</v>
      </c>
      <c r="V121" s="91"/>
      <c r="W121" s="92"/>
      <c r="X121" s="4">
        <v>255710</v>
      </c>
      <c r="Y121" s="4">
        <v>1333345</v>
      </c>
      <c r="Z121" s="4">
        <f t="shared" si="72"/>
        <v>4102600</v>
      </c>
      <c r="AA121" s="4">
        <f t="shared" si="76"/>
        <v>1333345</v>
      </c>
      <c r="AB121" s="8">
        <f t="shared" si="69"/>
        <v>1066676</v>
      </c>
      <c r="AC121" s="4">
        <f t="shared" si="70"/>
        <v>800007</v>
      </c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</row>
    <row r="122" spans="1:61" s="95" customFormat="1" ht="27.6" customHeight="1" x14ac:dyDescent="0.2">
      <c r="A122" s="9">
        <v>113</v>
      </c>
      <c r="B122" s="58" t="s">
        <v>450</v>
      </c>
      <c r="C122" s="9" t="s">
        <v>193</v>
      </c>
      <c r="D122" s="59">
        <v>14600000</v>
      </c>
      <c r="E122" s="9"/>
      <c r="F122" s="9"/>
      <c r="G122" s="62"/>
      <c r="H122" s="54">
        <v>6.5</v>
      </c>
      <c r="I122" s="34"/>
      <c r="J122" s="34"/>
      <c r="K122" s="34">
        <v>0</v>
      </c>
      <c r="L122" s="8">
        <v>14600000</v>
      </c>
      <c r="M122" s="8">
        <f t="shared" si="77"/>
        <v>14600000</v>
      </c>
      <c r="N122" s="8">
        <f t="shared" si="78"/>
        <v>11680000</v>
      </c>
      <c r="O122" s="18"/>
      <c r="P122" s="18"/>
      <c r="Q122" s="18">
        <v>0</v>
      </c>
      <c r="R122" s="4">
        <v>0</v>
      </c>
      <c r="S122" s="8">
        <f t="shared" si="73"/>
        <v>8760000</v>
      </c>
      <c r="T122" s="4">
        <f t="shared" si="79"/>
        <v>2920000</v>
      </c>
      <c r="U122" s="4">
        <f t="shared" si="75"/>
        <v>2920000</v>
      </c>
      <c r="V122" s="91"/>
      <c r="W122" s="92"/>
      <c r="X122" s="4">
        <v>93600</v>
      </c>
      <c r="Y122" s="4">
        <v>949000</v>
      </c>
      <c r="Z122" s="4">
        <f t="shared" si="72"/>
        <v>2920000</v>
      </c>
      <c r="AA122" s="4">
        <f t="shared" si="76"/>
        <v>949000</v>
      </c>
      <c r="AB122" s="8">
        <f t="shared" si="69"/>
        <v>759200</v>
      </c>
      <c r="AC122" s="4">
        <f t="shared" si="70"/>
        <v>569400</v>
      </c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</row>
    <row r="123" spans="1:61" s="95" customFormat="1" ht="27.6" customHeight="1" x14ac:dyDescent="0.2">
      <c r="A123" s="9">
        <v>114</v>
      </c>
      <c r="B123" s="58" t="s">
        <v>457</v>
      </c>
      <c r="C123" s="9" t="s">
        <v>193</v>
      </c>
      <c r="D123" s="59">
        <v>27064000</v>
      </c>
      <c r="E123" s="9"/>
      <c r="F123" s="9"/>
      <c r="G123" s="62"/>
      <c r="H123" s="54">
        <v>6.5</v>
      </c>
      <c r="I123" s="34"/>
      <c r="J123" s="34"/>
      <c r="K123" s="34">
        <v>0</v>
      </c>
      <c r="L123" s="8">
        <v>27064000</v>
      </c>
      <c r="M123" s="8">
        <f t="shared" si="77"/>
        <v>27064000</v>
      </c>
      <c r="N123" s="8">
        <f t="shared" si="78"/>
        <v>21651200</v>
      </c>
      <c r="O123" s="18"/>
      <c r="P123" s="18"/>
      <c r="Q123" s="18">
        <v>0</v>
      </c>
      <c r="R123" s="4">
        <v>0</v>
      </c>
      <c r="S123" s="8">
        <f t="shared" si="73"/>
        <v>16238400</v>
      </c>
      <c r="T123" s="4">
        <f t="shared" si="79"/>
        <v>5412800</v>
      </c>
      <c r="U123" s="4">
        <f t="shared" si="75"/>
        <v>5412800</v>
      </c>
      <c r="V123" s="91"/>
      <c r="W123" s="92"/>
      <c r="X123" s="4">
        <v>38557</v>
      </c>
      <c r="Y123" s="4">
        <v>1759160</v>
      </c>
      <c r="Z123" s="4">
        <f t="shared" si="72"/>
        <v>5412800</v>
      </c>
      <c r="AA123" s="4">
        <f t="shared" si="76"/>
        <v>1759160</v>
      </c>
      <c r="AB123" s="8">
        <f t="shared" si="69"/>
        <v>1407328</v>
      </c>
      <c r="AC123" s="4">
        <f t="shared" si="70"/>
        <v>1055496</v>
      </c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</row>
    <row r="124" spans="1:61" s="95" customFormat="1" ht="27.6" customHeight="1" x14ac:dyDescent="0.2">
      <c r="A124" s="9">
        <v>115</v>
      </c>
      <c r="B124" s="58" t="s">
        <v>464</v>
      </c>
      <c r="C124" s="9" t="s">
        <v>193</v>
      </c>
      <c r="D124" s="59">
        <v>19322000</v>
      </c>
      <c r="E124" s="9"/>
      <c r="F124" s="9"/>
      <c r="G124" s="62"/>
      <c r="H124" s="54">
        <v>6.5</v>
      </c>
      <c r="I124" s="34"/>
      <c r="J124" s="34"/>
      <c r="K124" s="34"/>
      <c r="L124" s="8">
        <v>0</v>
      </c>
      <c r="M124" s="8">
        <v>19322000</v>
      </c>
      <c r="N124" s="8">
        <f t="shared" si="78"/>
        <v>19322000</v>
      </c>
      <c r="O124" s="18"/>
      <c r="P124" s="18"/>
      <c r="Q124" s="18"/>
      <c r="R124" s="4">
        <v>0</v>
      </c>
      <c r="S124" s="8">
        <f t="shared" si="73"/>
        <v>15457600</v>
      </c>
      <c r="T124" s="4">
        <v>0</v>
      </c>
      <c r="U124" s="4">
        <f>D124/5</f>
        <v>3864400</v>
      </c>
      <c r="V124" s="92"/>
      <c r="W124" s="92"/>
      <c r="X124" s="4"/>
      <c r="Y124" s="4">
        <v>1235285</v>
      </c>
      <c r="Z124" s="4">
        <f>U124</f>
        <v>3864400</v>
      </c>
      <c r="AA124" s="4">
        <v>1255930</v>
      </c>
      <c r="AB124" s="8">
        <f t="shared" si="69"/>
        <v>1255930</v>
      </c>
      <c r="AC124" s="4">
        <f t="shared" si="70"/>
        <v>1004744</v>
      </c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</row>
    <row r="125" spans="1:61" s="95" customFormat="1" ht="27.6" customHeight="1" x14ac:dyDescent="0.2">
      <c r="A125" s="9">
        <v>116</v>
      </c>
      <c r="B125" s="58" t="s">
        <v>464</v>
      </c>
      <c r="C125" s="9" t="s">
        <v>193</v>
      </c>
      <c r="D125" s="59">
        <v>7821000</v>
      </c>
      <c r="E125" s="9"/>
      <c r="F125" s="9"/>
      <c r="G125" s="62"/>
      <c r="H125" s="54">
        <v>6.5</v>
      </c>
      <c r="I125" s="34"/>
      <c r="J125" s="34"/>
      <c r="K125" s="34"/>
      <c r="L125" s="8">
        <v>0</v>
      </c>
      <c r="M125" s="8">
        <v>7821000</v>
      </c>
      <c r="N125" s="8">
        <f t="shared" si="78"/>
        <v>7821000</v>
      </c>
      <c r="O125" s="18"/>
      <c r="P125" s="18"/>
      <c r="Q125" s="18"/>
      <c r="R125" s="4">
        <v>0</v>
      </c>
      <c r="S125" s="8">
        <f t="shared" si="73"/>
        <v>6256800</v>
      </c>
      <c r="T125" s="4">
        <v>0</v>
      </c>
      <c r="U125" s="4">
        <f t="shared" ref="U125:U133" si="80">D125/5</f>
        <v>1564200</v>
      </c>
      <c r="V125" s="92"/>
      <c r="W125" s="92"/>
      <c r="X125" s="4"/>
      <c r="Y125" s="4">
        <v>500008</v>
      </c>
      <c r="Z125" s="4">
        <f t="shared" ref="Z125:Z133" si="81">U125</f>
        <v>1564200</v>
      </c>
      <c r="AA125" s="4">
        <v>508365</v>
      </c>
      <c r="AB125" s="8">
        <f t="shared" si="69"/>
        <v>508365</v>
      </c>
      <c r="AC125" s="4">
        <f t="shared" si="70"/>
        <v>406692</v>
      </c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</row>
    <row r="126" spans="1:61" s="95" customFormat="1" ht="27.6" customHeight="1" x14ac:dyDescent="0.2">
      <c r="A126" s="9">
        <v>117</v>
      </c>
      <c r="B126" s="58" t="s">
        <v>468</v>
      </c>
      <c r="C126" s="9" t="s">
        <v>193</v>
      </c>
      <c r="D126" s="59">
        <v>16611000</v>
      </c>
      <c r="E126" s="9"/>
      <c r="F126" s="9"/>
      <c r="G126" s="62"/>
      <c r="H126" s="54">
        <v>6.5</v>
      </c>
      <c r="I126" s="34"/>
      <c r="J126" s="34"/>
      <c r="K126" s="34"/>
      <c r="L126" s="8">
        <v>0</v>
      </c>
      <c r="M126" s="8">
        <v>16611000</v>
      </c>
      <c r="N126" s="8">
        <f t="shared" si="78"/>
        <v>16611000</v>
      </c>
      <c r="O126" s="18"/>
      <c r="P126" s="18"/>
      <c r="Q126" s="18"/>
      <c r="R126" s="4">
        <v>0</v>
      </c>
      <c r="S126" s="8">
        <f t="shared" si="73"/>
        <v>13288800</v>
      </c>
      <c r="T126" s="4">
        <v>0</v>
      </c>
      <c r="U126" s="4">
        <f t="shared" si="80"/>
        <v>3322200</v>
      </c>
      <c r="V126" s="92"/>
      <c r="W126" s="92"/>
      <c r="X126" s="4"/>
      <c r="Y126" s="4">
        <v>840107</v>
      </c>
      <c r="Z126" s="4">
        <f t="shared" si="81"/>
        <v>3322200</v>
      </c>
      <c r="AA126" s="4">
        <v>1079715</v>
      </c>
      <c r="AB126" s="8">
        <f t="shared" si="69"/>
        <v>1079715</v>
      </c>
      <c r="AC126" s="4">
        <f t="shared" si="70"/>
        <v>863772</v>
      </c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</row>
    <row r="127" spans="1:61" s="95" customFormat="1" ht="27.6" customHeight="1" x14ac:dyDescent="0.2">
      <c r="A127" s="9">
        <v>118</v>
      </c>
      <c r="B127" s="58" t="s">
        <v>477</v>
      </c>
      <c r="C127" s="9" t="s">
        <v>193</v>
      </c>
      <c r="D127" s="59">
        <v>28302000</v>
      </c>
      <c r="E127" s="9"/>
      <c r="F127" s="9"/>
      <c r="G127" s="62"/>
      <c r="H127" s="54">
        <v>6.5</v>
      </c>
      <c r="I127" s="34"/>
      <c r="J127" s="34"/>
      <c r="K127" s="34"/>
      <c r="L127" s="8">
        <v>0</v>
      </c>
      <c r="M127" s="8">
        <v>28302000</v>
      </c>
      <c r="N127" s="8">
        <f t="shared" si="78"/>
        <v>28302000</v>
      </c>
      <c r="O127" s="18"/>
      <c r="P127" s="18"/>
      <c r="Q127" s="18"/>
      <c r="R127" s="4">
        <v>0</v>
      </c>
      <c r="S127" s="8">
        <f t="shared" si="73"/>
        <v>22641600</v>
      </c>
      <c r="T127" s="4">
        <v>0</v>
      </c>
      <c r="U127" s="4">
        <f t="shared" si="80"/>
        <v>5660400</v>
      </c>
      <c r="V127" s="92"/>
      <c r="W127" s="92"/>
      <c r="X127" s="4"/>
      <c r="Y127" s="4">
        <v>725772</v>
      </c>
      <c r="Z127" s="4">
        <f t="shared" si="81"/>
        <v>5660400</v>
      </c>
      <c r="AA127" s="4">
        <v>1839630</v>
      </c>
      <c r="AB127" s="8">
        <f t="shared" si="69"/>
        <v>1839630</v>
      </c>
      <c r="AC127" s="4">
        <f t="shared" si="70"/>
        <v>1471704</v>
      </c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</row>
    <row r="128" spans="1:61" s="95" customFormat="1" ht="27.6" customHeight="1" x14ac:dyDescent="0.2">
      <c r="A128" s="9">
        <v>119</v>
      </c>
      <c r="B128" s="58" t="s">
        <v>478</v>
      </c>
      <c r="C128" s="9" t="s">
        <v>193</v>
      </c>
      <c r="D128" s="59">
        <v>44018000</v>
      </c>
      <c r="E128" s="9"/>
      <c r="F128" s="9"/>
      <c r="G128" s="62"/>
      <c r="H128" s="54">
        <v>6.5</v>
      </c>
      <c r="I128" s="34"/>
      <c r="J128" s="34"/>
      <c r="K128" s="34"/>
      <c r="L128" s="8">
        <v>0</v>
      </c>
      <c r="M128" s="8">
        <v>44018000</v>
      </c>
      <c r="N128" s="8">
        <f t="shared" si="78"/>
        <v>44018000</v>
      </c>
      <c r="O128" s="18"/>
      <c r="P128" s="18"/>
      <c r="Q128" s="18"/>
      <c r="R128" s="4">
        <v>0</v>
      </c>
      <c r="S128" s="8">
        <f t="shared" si="73"/>
        <v>35214400</v>
      </c>
      <c r="T128" s="4">
        <v>0</v>
      </c>
      <c r="U128" s="4">
        <f t="shared" si="80"/>
        <v>8803600</v>
      </c>
      <c r="V128" s="92"/>
      <c r="W128" s="92"/>
      <c r="X128" s="4"/>
      <c r="Y128" s="4">
        <v>1050402</v>
      </c>
      <c r="Z128" s="4">
        <f t="shared" si="81"/>
        <v>8803600</v>
      </c>
      <c r="AA128" s="4">
        <v>2861170</v>
      </c>
      <c r="AB128" s="8">
        <f t="shared" si="69"/>
        <v>2861170</v>
      </c>
      <c r="AC128" s="4">
        <f t="shared" si="70"/>
        <v>2288936</v>
      </c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</row>
    <row r="129" spans="1:258" s="95" customFormat="1" ht="27.6" customHeight="1" x14ac:dyDescent="0.2">
      <c r="A129" s="9">
        <v>120</v>
      </c>
      <c r="B129" s="58" t="s">
        <v>486</v>
      </c>
      <c r="C129" s="9" t="s">
        <v>193</v>
      </c>
      <c r="D129" s="59">
        <v>14717000</v>
      </c>
      <c r="E129" s="9"/>
      <c r="F129" s="9"/>
      <c r="G129" s="62"/>
      <c r="H129" s="54">
        <v>6.5</v>
      </c>
      <c r="I129" s="34"/>
      <c r="J129" s="34"/>
      <c r="K129" s="34"/>
      <c r="L129" s="8">
        <v>0</v>
      </c>
      <c r="M129" s="8">
        <v>14717000</v>
      </c>
      <c r="N129" s="8">
        <f t="shared" si="78"/>
        <v>14717000</v>
      </c>
      <c r="O129" s="18"/>
      <c r="P129" s="18"/>
      <c r="Q129" s="18"/>
      <c r="R129" s="4">
        <v>0</v>
      </c>
      <c r="S129" s="8">
        <f t="shared" si="73"/>
        <v>11773600</v>
      </c>
      <c r="T129" s="4">
        <v>0</v>
      </c>
      <c r="U129" s="4">
        <f t="shared" si="80"/>
        <v>2943400</v>
      </c>
      <c r="V129" s="92"/>
      <c r="W129" s="92"/>
      <c r="X129" s="4"/>
      <c r="Y129" s="4">
        <v>248979</v>
      </c>
      <c r="Z129" s="4">
        <f t="shared" si="81"/>
        <v>2943400</v>
      </c>
      <c r="AA129" s="4">
        <v>956605</v>
      </c>
      <c r="AB129" s="8">
        <f t="shared" si="69"/>
        <v>956605</v>
      </c>
      <c r="AC129" s="4">
        <f t="shared" si="70"/>
        <v>765284</v>
      </c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</row>
    <row r="130" spans="1:258" s="95" customFormat="1" ht="27.6" customHeight="1" x14ac:dyDescent="0.2">
      <c r="A130" s="9">
        <v>121</v>
      </c>
      <c r="B130" s="58" t="s">
        <v>1</v>
      </c>
      <c r="C130" s="9" t="s">
        <v>193</v>
      </c>
      <c r="D130" s="59">
        <v>17767000</v>
      </c>
      <c r="E130" s="9"/>
      <c r="F130" s="9"/>
      <c r="G130" s="62"/>
      <c r="H130" s="54">
        <v>6.5</v>
      </c>
      <c r="I130" s="34"/>
      <c r="J130" s="34"/>
      <c r="K130" s="34"/>
      <c r="L130" s="8">
        <v>0</v>
      </c>
      <c r="M130" s="8">
        <v>17767000</v>
      </c>
      <c r="N130" s="8">
        <f t="shared" si="78"/>
        <v>17767000</v>
      </c>
      <c r="O130" s="18"/>
      <c r="P130" s="18"/>
      <c r="Q130" s="18"/>
      <c r="R130" s="4">
        <v>0</v>
      </c>
      <c r="S130" s="8">
        <f t="shared" si="73"/>
        <v>14213600</v>
      </c>
      <c r="T130" s="4">
        <v>0</v>
      </c>
      <c r="U130" s="4">
        <f t="shared" si="80"/>
        <v>3553400</v>
      </c>
      <c r="V130" s="92"/>
      <c r="W130" s="92"/>
      <c r="X130" s="4"/>
      <c r="Y130" s="4">
        <v>60116</v>
      </c>
      <c r="Z130" s="4">
        <f t="shared" si="81"/>
        <v>3553400</v>
      </c>
      <c r="AA130" s="4">
        <v>1154855</v>
      </c>
      <c r="AB130" s="8">
        <f t="shared" si="69"/>
        <v>1154855</v>
      </c>
      <c r="AC130" s="4">
        <f t="shared" si="70"/>
        <v>923884</v>
      </c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</row>
    <row r="131" spans="1:258" s="95" customFormat="1" ht="27.6" customHeight="1" x14ac:dyDescent="0.2">
      <c r="A131" s="9">
        <v>122</v>
      </c>
      <c r="B131" s="58" t="s">
        <v>550</v>
      </c>
      <c r="C131" s="9" t="s">
        <v>193</v>
      </c>
      <c r="D131" s="59">
        <v>3478000</v>
      </c>
      <c r="E131" s="9"/>
      <c r="F131" s="9"/>
      <c r="G131" s="62"/>
      <c r="H131" s="54">
        <v>6.5</v>
      </c>
      <c r="I131" s="34"/>
      <c r="J131" s="34"/>
      <c r="K131" s="34"/>
      <c r="L131" s="8">
        <v>0</v>
      </c>
      <c r="M131" s="8">
        <v>3478000</v>
      </c>
      <c r="N131" s="8">
        <f t="shared" si="78"/>
        <v>3478000</v>
      </c>
      <c r="O131" s="18"/>
      <c r="P131" s="18"/>
      <c r="Q131" s="18"/>
      <c r="R131" s="4">
        <v>0</v>
      </c>
      <c r="S131" s="8">
        <f t="shared" si="73"/>
        <v>2782400</v>
      </c>
      <c r="T131" s="4">
        <v>0</v>
      </c>
      <c r="U131" s="4">
        <f t="shared" si="80"/>
        <v>695600</v>
      </c>
      <c r="V131" s="92"/>
      <c r="W131" s="92"/>
      <c r="X131" s="4"/>
      <c r="Y131" s="4">
        <v>3716</v>
      </c>
      <c r="Z131" s="4">
        <f t="shared" si="81"/>
        <v>695600</v>
      </c>
      <c r="AA131" s="4">
        <v>226070</v>
      </c>
      <c r="AB131" s="8">
        <f t="shared" si="69"/>
        <v>226070</v>
      </c>
      <c r="AC131" s="4">
        <f t="shared" si="70"/>
        <v>180856</v>
      </c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</row>
    <row r="132" spans="1:258" s="95" customFormat="1" ht="27.6" customHeight="1" x14ac:dyDescent="0.2">
      <c r="A132" s="9">
        <v>123</v>
      </c>
      <c r="B132" s="58" t="s">
        <v>553</v>
      </c>
      <c r="C132" s="9" t="s">
        <v>193</v>
      </c>
      <c r="D132" s="59">
        <v>21203000</v>
      </c>
      <c r="E132" s="9"/>
      <c r="F132" s="9"/>
      <c r="G132" s="62"/>
      <c r="H132" s="54">
        <v>6.5</v>
      </c>
      <c r="I132" s="34"/>
      <c r="J132" s="34"/>
      <c r="K132" s="34"/>
      <c r="L132" s="8">
        <v>0</v>
      </c>
      <c r="M132" s="8">
        <v>21203000</v>
      </c>
      <c r="N132" s="8">
        <f t="shared" si="78"/>
        <v>21203000</v>
      </c>
      <c r="O132" s="18"/>
      <c r="P132" s="18"/>
      <c r="Q132" s="18"/>
      <c r="R132" s="4">
        <v>0</v>
      </c>
      <c r="S132" s="8">
        <f t="shared" si="73"/>
        <v>16962400</v>
      </c>
      <c r="T132" s="4">
        <v>0</v>
      </c>
      <c r="U132" s="4">
        <f t="shared" si="80"/>
        <v>4240600</v>
      </c>
      <c r="V132" s="92"/>
      <c r="W132" s="92"/>
      <c r="X132" s="4"/>
      <c r="Y132" s="4">
        <v>11328</v>
      </c>
      <c r="Z132" s="4">
        <f t="shared" si="81"/>
        <v>4240600</v>
      </c>
      <c r="AA132" s="4">
        <v>1378195</v>
      </c>
      <c r="AB132" s="8">
        <f t="shared" si="69"/>
        <v>1378195</v>
      </c>
      <c r="AC132" s="4">
        <f t="shared" si="70"/>
        <v>1102556</v>
      </c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</row>
    <row r="133" spans="1:258" s="95" customFormat="1" ht="27.6" customHeight="1" x14ac:dyDescent="0.2">
      <c r="A133" s="9">
        <v>124</v>
      </c>
      <c r="B133" s="58" t="s">
        <v>554</v>
      </c>
      <c r="C133" s="9" t="s">
        <v>193</v>
      </c>
      <c r="D133" s="59">
        <v>2800000</v>
      </c>
      <c r="E133" s="9"/>
      <c r="F133" s="9"/>
      <c r="G133" s="62"/>
      <c r="H133" s="54">
        <v>6.5</v>
      </c>
      <c r="I133" s="34"/>
      <c r="J133" s="34"/>
      <c r="K133" s="34"/>
      <c r="L133" s="8">
        <v>0</v>
      </c>
      <c r="M133" s="8">
        <v>2800000</v>
      </c>
      <c r="N133" s="8">
        <f t="shared" si="78"/>
        <v>2800000</v>
      </c>
      <c r="O133" s="18"/>
      <c r="P133" s="18"/>
      <c r="Q133" s="18"/>
      <c r="R133" s="4">
        <v>0</v>
      </c>
      <c r="S133" s="8">
        <f t="shared" si="73"/>
        <v>2240000</v>
      </c>
      <c r="T133" s="4">
        <v>0</v>
      </c>
      <c r="U133" s="4">
        <f t="shared" si="80"/>
        <v>560000</v>
      </c>
      <c r="V133" s="92"/>
      <c r="W133" s="92"/>
      <c r="X133" s="4"/>
      <c r="Y133" s="4">
        <v>997</v>
      </c>
      <c r="Z133" s="4">
        <f t="shared" si="81"/>
        <v>560000</v>
      </c>
      <c r="AA133" s="4">
        <v>182000</v>
      </c>
      <c r="AB133" s="8">
        <f t="shared" si="69"/>
        <v>182000</v>
      </c>
      <c r="AC133" s="4">
        <f t="shared" si="70"/>
        <v>145600</v>
      </c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</row>
    <row r="134" spans="1:258" s="95" customFormat="1" ht="27.6" customHeight="1" x14ac:dyDescent="0.2">
      <c r="A134" s="9">
        <v>125</v>
      </c>
      <c r="B134" s="58" t="s">
        <v>573</v>
      </c>
      <c r="C134" s="9" t="s">
        <v>193</v>
      </c>
      <c r="D134" s="59">
        <v>41628000</v>
      </c>
      <c r="E134" s="9"/>
      <c r="F134" s="9"/>
      <c r="G134" s="62"/>
      <c r="H134" s="54">
        <v>7.5</v>
      </c>
      <c r="I134" s="34"/>
      <c r="J134" s="34"/>
      <c r="K134" s="34"/>
      <c r="L134" s="8"/>
      <c r="M134" s="8">
        <v>41628000</v>
      </c>
      <c r="N134" s="8">
        <v>41628000</v>
      </c>
      <c r="O134" s="18"/>
      <c r="P134" s="18"/>
      <c r="Q134" s="18"/>
      <c r="R134" s="4"/>
      <c r="S134" s="8">
        <f>N134-U134</f>
        <v>41628000</v>
      </c>
      <c r="T134" s="4">
        <v>0</v>
      </c>
      <c r="U134" s="4">
        <v>0</v>
      </c>
      <c r="V134" s="92"/>
      <c r="W134" s="92"/>
      <c r="X134" s="4"/>
      <c r="Y134" s="4"/>
      <c r="Z134" s="4">
        <f>D134/5</f>
        <v>8325600</v>
      </c>
      <c r="AA134" s="8">
        <f>AB134/365*216</f>
        <v>1847598.9041095893</v>
      </c>
      <c r="AB134" s="8">
        <f>N134*7.5/100</f>
        <v>3122100</v>
      </c>
      <c r="AC134" s="4">
        <f t="shared" si="70"/>
        <v>3122100</v>
      </c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</row>
    <row r="135" spans="1:258" s="95" customFormat="1" ht="27.6" customHeight="1" x14ac:dyDescent="0.2">
      <c r="A135" s="9">
        <v>126</v>
      </c>
      <c r="B135" s="58" t="s">
        <v>645</v>
      </c>
      <c r="C135" s="9" t="s">
        <v>193</v>
      </c>
      <c r="D135" s="59">
        <v>12980000</v>
      </c>
      <c r="E135" s="9"/>
      <c r="F135" s="9"/>
      <c r="G135" s="62"/>
      <c r="H135" s="54">
        <v>6.75</v>
      </c>
      <c r="I135" s="34"/>
      <c r="J135" s="34"/>
      <c r="K135" s="34"/>
      <c r="L135" s="8"/>
      <c r="M135" s="8">
        <v>0</v>
      </c>
      <c r="N135" s="8">
        <f>D135</f>
        <v>12980000</v>
      </c>
      <c r="O135" s="18"/>
      <c r="P135" s="18"/>
      <c r="Q135" s="18"/>
      <c r="R135" s="4"/>
      <c r="S135" s="8">
        <f t="shared" si="65"/>
        <v>12980000</v>
      </c>
      <c r="T135" s="4">
        <v>0</v>
      </c>
      <c r="U135" s="4">
        <v>0</v>
      </c>
      <c r="V135" s="92"/>
      <c r="W135" s="92"/>
      <c r="X135" s="4"/>
      <c r="Y135" s="4"/>
      <c r="Z135" s="4">
        <v>0</v>
      </c>
      <c r="AA135" s="8">
        <f>AB135/365*286</f>
        <v>686517.53424657532</v>
      </c>
      <c r="AB135" s="8">
        <f>N135*6.75/100</f>
        <v>876150</v>
      </c>
      <c r="AC135" s="4">
        <f t="shared" si="70"/>
        <v>876150</v>
      </c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</row>
    <row r="136" spans="1:258" s="95" customFormat="1" ht="27.6" customHeight="1" x14ac:dyDescent="0.2">
      <c r="A136" s="9">
        <v>127</v>
      </c>
      <c r="B136" s="58" t="s">
        <v>664</v>
      </c>
      <c r="C136" s="9" t="s">
        <v>193</v>
      </c>
      <c r="D136" s="59">
        <v>81699000</v>
      </c>
      <c r="E136" s="9"/>
      <c r="F136" s="9"/>
      <c r="G136" s="62"/>
      <c r="H136" s="54">
        <v>7.25</v>
      </c>
      <c r="I136" s="34"/>
      <c r="J136" s="34"/>
      <c r="K136" s="34"/>
      <c r="L136" s="8"/>
      <c r="M136" s="8">
        <v>0</v>
      </c>
      <c r="N136" s="8">
        <f>D136</f>
        <v>81699000</v>
      </c>
      <c r="O136" s="18"/>
      <c r="P136" s="18"/>
      <c r="Q136" s="18"/>
      <c r="R136" s="4"/>
      <c r="S136" s="8">
        <f t="shared" si="65"/>
        <v>81699000</v>
      </c>
      <c r="T136" s="4">
        <v>0</v>
      </c>
      <c r="U136" s="4">
        <v>0</v>
      </c>
      <c r="V136" s="92"/>
      <c r="W136" s="92"/>
      <c r="X136" s="4"/>
      <c r="Y136" s="4"/>
      <c r="Z136" s="4">
        <v>0</v>
      </c>
      <c r="AA136" s="8">
        <f>AB136/365*148</f>
        <v>2401726.7671232875</v>
      </c>
      <c r="AB136" s="8">
        <f>N136*7.25/100</f>
        <v>5923177.5</v>
      </c>
      <c r="AC136" s="4">
        <f t="shared" si="70"/>
        <v>5923177.5</v>
      </c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</row>
    <row r="137" spans="1:258" s="95" customFormat="1" ht="27.6" customHeight="1" x14ac:dyDescent="0.2">
      <c r="A137" s="103"/>
      <c r="B137" s="108"/>
      <c r="C137" s="105" t="s">
        <v>123</v>
      </c>
      <c r="D137" s="109">
        <f>SUM(D90:D136)</f>
        <v>1538941000</v>
      </c>
      <c r="E137" s="109">
        <f>SUM(E90:E103)</f>
        <v>91</v>
      </c>
      <c r="F137" s="109">
        <f>SUM(F90:F103)</f>
        <v>26</v>
      </c>
      <c r="G137" s="109">
        <f>SUM(G90:G103)</f>
        <v>0</v>
      </c>
      <c r="H137" s="109"/>
      <c r="I137" s="109">
        <f>SUM(I90:I103)</f>
        <v>0</v>
      </c>
      <c r="J137" s="109">
        <f>SUM(J90:J108)</f>
        <v>459400000</v>
      </c>
      <c r="K137" s="109">
        <f>SUM(K90:K129)</f>
        <v>1089968000</v>
      </c>
      <c r="L137" s="109">
        <f>SUM(L90:L133)</f>
        <v>1134715000</v>
      </c>
      <c r="M137" s="109">
        <f t="shared" ref="M137:AC137" si="82">SUM(M90:M136)</f>
        <v>989704000</v>
      </c>
      <c r="N137" s="109">
        <f t="shared" si="82"/>
        <v>839065000</v>
      </c>
      <c r="O137" s="109">
        <f t="shared" si="82"/>
        <v>0</v>
      </c>
      <c r="P137" s="109">
        <f t="shared" si="82"/>
        <v>0</v>
      </c>
      <c r="Q137" s="109">
        <f t="shared" si="82"/>
        <v>91880000</v>
      </c>
      <c r="R137" s="109">
        <f t="shared" si="82"/>
        <v>144684400</v>
      </c>
      <c r="S137" s="109">
        <f t="shared" si="82"/>
        <v>558538200</v>
      </c>
      <c r="T137" s="109">
        <f t="shared" si="82"/>
        <v>245319000</v>
      </c>
      <c r="U137" s="109">
        <f t="shared" si="82"/>
        <v>280526800</v>
      </c>
      <c r="V137" s="109">
        <f t="shared" si="82"/>
        <v>7349326.7433191109</v>
      </c>
      <c r="W137" s="109">
        <f t="shared" si="82"/>
        <v>35950334.270379521</v>
      </c>
      <c r="X137" s="109">
        <f t="shared" si="82"/>
        <v>73527935</v>
      </c>
      <c r="Y137" s="109">
        <f t="shared" si="82"/>
        <v>75920834</v>
      </c>
      <c r="Z137" s="109">
        <f t="shared" si="82"/>
        <v>196974400</v>
      </c>
      <c r="AA137" s="109">
        <f t="shared" si="82"/>
        <v>66560783.205479458</v>
      </c>
      <c r="AB137" s="109">
        <f t="shared" si="82"/>
        <v>55600697.5</v>
      </c>
      <c r="AC137" s="109">
        <f t="shared" si="82"/>
        <v>37366455.5</v>
      </c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107"/>
      <c r="BK137" s="107"/>
      <c r="BL137" s="107"/>
      <c r="BM137" s="107"/>
      <c r="BN137" s="107"/>
      <c r="BO137" s="107"/>
      <c r="BP137" s="107"/>
      <c r="BQ137" s="107"/>
      <c r="BR137" s="107"/>
      <c r="BS137" s="107"/>
      <c r="BT137" s="107"/>
      <c r="BU137" s="107"/>
      <c r="BV137" s="107"/>
      <c r="BW137" s="107"/>
      <c r="BX137" s="107"/>
      <c r="BY137" s="107"/>
      <c r="BZ137" s="107"/>
      <c r="CA137" s="107"/>
      <c r="CB137" s="107"/>
      <c r="CC137" s="107"/>
      <c r="CD137" s="107"/>
      <c r="CE137" s="107"/>
      <c r="CF137" s="107"/>
      <c r="CG137" s="107"/>
      <c r="CH137" s="107"/>
      <c r="CI137" s="107"/>
      <c r="CJ137" s="107"/>
      <c r="CK137" s="107"/>
      <c r="CL137" s="107"/>
      <c r="CM137" s="107"/>
      <c r="CN137" s="107"/>
      <c r="CO137" s="107"/>
      <c r="CP137" s="107"/>
      <c r="CQ137" s="107"/>
      <c r="CR137" s="107"/>
      <c r="CS137" s="107"/>
      <c r="CT137" s="107"/>
      <c r="CU137" s="107"/>
      <c r="CV137" s="107"/>
      <c r="CW137" s="107"/>
      <c r="CX137" s="107"/>
      <c r="CY137" s="107"/>
      <c r="CZ137" s="107"/>
      <c r="DA137" s="107"/>
      <c r="DB137" s="107"/>
      <c r="DC137" s="107"/>
      <c r="DD137" s="107"/>
      <c r="DE137" s="107"/>
      <c r="DF137" s="107"/>
      <c r="DG137" s="107"/>
      <c r="DH137" s="107"/>
      <c r="DI137" s="107"/>
      <c r="DJ137" s="107"/>
      <c r="DK137" s="107"/>
      <c r="DL137" s="107"/>
      <c r="DM137" s="107"/>
      <c r="DN137" s="107"/>
      <c r="DO137" s="107"/>
      <c r="DP137" s="107"/>
      <c r="DQ137" s="107"/>
      <c r="DR137" s="107"/>
      <c r="DS137" s="107"/>
      <c r="DT137" s="107"/>
      <c r="DU137" s="107"/>
      <c r="DV137" s="107"/>
      <c r="DW137" s="107"/>
      <c r="DX137" s="107"/>
      <c r="DY137" s="107"/>
      <c r="DZ137" s="107"/>
      <c r="EA137" s="107"/>
      <c r="EB137" s="107"/>
      <c r="EC137" s="107"/>
      <c r="ED137" s="107"/>
      <c r="EE137" s="107"/>
      <c r="EF137" s="107"/>
      <c r="EG137" s="107"/>
      <c r="EH137" s="107"/>
      <c r="EI137" s="107"/>
      <c r="EJ137" s="107"/>
      <c r="EK137" s="107"/>
      <c r="EL137" s="107"/>
      <c r="EM137" s="107"/>
      <c r="EN137" s="107"/>
      <c r="EO137" s="107"/>
      <c r="EP137" s="107"/>
      <c r="EQ137" s="107"/>
      <c r="ER137" s="107"/>
      <c r="ES137" s="107"/>
      <c r="ET137" s="107"/>
      <c r="EU137" s="107"/>
      <c r="EV137" s="107"/>
      <c r="EW137" s="107"/>
      <c r="EX137" s="107"/>
      <c r="EY137" s="107"/>
      <c r="EZ137" s="107"/>
      <c r="FA137" s="107"/>
      <c r="FB137" s="107"/>
      <c r="FC137" s="107"/>
      <c r="FD137" s="107"/>
      <c r="FE137" s="107"/>
      <c r="FF137" s="107"/>
      <c r="FG137" s="107"/>
      <c r="FH137" s="107"/>
      <c r="FI137" s="107"/>
      <c r="FJ137" s="107"/>
      <c r="FK137" s="107"/>
      <c r="FL137" s="107"/>
      <c r="FM137" s="107"/>
      <c r="FN137" s="107"/>
      <c r="FO137" s="107"/>
      <c r="FP137" s="107"/>
      <c r="FQ137" s="107"/>
      <c r="FR137" s="107"/>
      <c r="FS137" s="107"/>
      <c r="FT137" s="107"/>
      <c r="FU137" s="107"/>
      <c r="FV137" s="107"/>
      <c r="FW137" s="107"/>
      <c r="FX137" s="107"/>
      <c r="FY137" s="107"/>
      <c r="FZ137" s="107"/>
      <c r="GA137" s="107"/>
      <c r="GB137" s="107"/>
      <c r="GC137" s="107"/>
      <c r="GD137" s="107"/>
      <c r="GE137" s="107"/>
      <c r="GF137" s="107"/>
      <c r="GG137" s="107"/>
      <c r="GH137" s="107"/>
      <c r="GI137" s="107"/>
      <c r="GJ137" s="107"/>
      <c r="GK137" s="107"/>
      <c r="GL137" s="107"/>
      <c r="GM137" s="107"/>
      <c r="GN137" s="107"/>
      <c r="GO137" s="107"/>
      <c r="GP137" s="107"/>
      <c r="GQ137" s="107"/>
      <c r="GR137" s="107"/>
      <c r="GS137" s="107"/>
      <c r="GT137" s="107"/>
      <c r="GU137" s="107"/>
      <c r="GV137" s="107"/>
      <c r="GW137" s="107"/>
      <c r="GX137" s="107"/>
      <c r="GY137" s="107"/>
      <c r="GZ137" s="107"/>
      <c r="HA137" s="107"/>
      <c r="HB137" s="107"/>
      <c r="HC137" s="107"/>
      <c r="HD137" s="107"/>
      <c r="HE137" s="107"/>
      <c r="HF137" s="107"/>
      <c r="HG137" s="107"/>
      <c r="HH137" s="107"/>
      <c r="HI137" s="107"/>
      <c r="HJ137" s="107"/>
      <c r="HK137" s="107"/>
      <c r="HL137" s="107"/>
      <c r="HM137" s="107"/>
      <c r="HN137" s="107"/>
      <c r="HO137" s="107"/>
      <c r="HP137" s="107"/>
      <c r="HQ137" s="107"/>
      <c r="HR137" s="107"/>
      <c r="HS137" s="107"/>
      <c r="HT137" s="107"/>
      <c r="HU137" s="107"/>
      <c r="HV137" s="107"/>
      <c r="HW137" s="107"/>
      <c r="HX137" s="107"/>
      <c r="HY137" s="107"/>
      <c r="HZ137" s="107"/>
      <c r="IA137" s="107"/>
      <c r="IB137" s="107"/>
      <c r="IC137" s="107"/>
      <c r="ID137" s="107"/>
      <c r="IE137" s="107"/>
      <c r="IF137" s="107"/>
      <c r="IG137" s="107"/>
      <c r="IH137" s="107"/>
      <c r="II137" s="107"/>
      <c r="IJ137" s="107"/>
      <c r="IK137" s="107"/>
      <c r="IL137" s="107"/>
      <c r="IM137" s="107"/>
      <c r="IN137" s="107"/>
      <c r="IO137" s="107"/>
      <c r="IP137" s="107"/>
      <c r="IQ137" s="107"/>
      <c r="IR137" s="107"/>
      <c r="IS137" s="107"/>
      <c r="IT137" s="107"/>
      <c r="IU137" s="107"/>
      <c r="IV137" s="107"/>
      <c r="IW137" s="107"/>
      <c r="IX137" s="107"/>
    </row>
    <row r="138" spans="1:258" s="132" customFormat="1" ht="38.25" customHeight="1" x14ac:dyDescent="0.2">
      <c r="A138" s="80">
        <v>128</v>
      </c>
      <c r="B138" s="78" t="s">
        <v>263</v>
      </c>
      <c r="C138" s="80" t="s">
        <v>213</v>
      </c>
      <c r="D138" s="157">
        <v>301400000</v>
      </c>
      <c r="E138" s="80">
        <v>7</v>
      </c>
      <c r="F138" s="80">
        <v>2</v>
      </c>
      <c r="G138" s="82" t="s">
        <v>178</v>
      </c>
      <c r="H138" s="83">
        <v>6.5</v>
      </c>
      <c r="I138" s="61">
        <v>0</v>
      </c>
      <c r="J138" s="61">
        <v>301400000</v>
      </c>
      <c r="K138" s="61">
        <v>301400000</v>
      </c>
      <c r="L138" s="90">
        <f t="shared" ref="L138:L169" si="83">K138-Q138</f>
        <v>241120000</v>
      </c>
      <c r="M138" s="90">
        <v>120560000</v>
      </c>
      <c r="N138" s="90">
        <f t="shared" ref="N138:N169" si="84">M138-U138</f>
        <v>60280000</v>
      </c>
      <c r="O138" s="90">
        <v>0</v>
      </c>
      <c r="P138" s="90">
        <v>0</v>
      </c>
      <c r="Q138" s="90">
        <v>60280000</v>
      </c>
      <c r="R138" s="93">
        <v>60280000</v>
      </c>
      <c r="S138" s="90">
        <f>N138-U138</f>
        <v>0</v>
      </c>
      <c r="T138" s="93">
        <f>R138</f>
        <v>60280000</v>
      </c>
      <c r="U138" s="93">
        <f>T138</f>
        <v>60280000</v>
      </c>
      <c r="V138" s="90">
        <v>1873456</v>
      </c>
      <c r="W138" s="90">
        <v>19550671.19544876</v>
      </c>
      <c r="X138" s="93">
        <v>19591000</v>
      </c>
      <c r="Y138" s="93">
        <v>15373194</v>
      </c>
      <c r="Z138" s="90">
        <f>S138</f>
        <v>0</v>
      </c>
      <c r="AA138" s="93">
        <f>M138*6.5/100</f>
        <v>7836400</v>
      </c>
      <c r="AB138" s="90">
        <f>N138*6.5/100</f>
        <v>3918200</v>
      </c>
      <c r="AC138" s="4">
        <f t="shared" ref="AC138:AC201" si="85">S138*H138%</f>
        <v>0</v>
      </c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</row>
    <row r="139" spans="1:258" s="37" customFormat="1" ht="27.6" customHeight="1" x14ac:dyDescent="0.2">
      <c r="A139" s="9">
        <v>129</v>
      </c>
      <c r="B139" s="58" t="s">
        <v>241</v>
      </c>
      <c r="C139" s="9" t="s">
        <v>213</v>
      </c>
      <c r="D139" s="71">
        <v>51900000</v>
      </c>
      <c r="E139" s="9">
        <v>7</v>
      </c>
      <c r="F139" s="9">
        <v>2</v>
      </c>
      <c r="G139" s="62" t="s">
        <v>178</v>
      </c>
      <c r="H139" s="54">
        <v>6.5</v>
      </c>
      <c r="I139" s="34">
        <v>0</v>
      </c>
      <c r="J139" s="34">
        <v>51900000</v>
      </c>
      <c r="K139" s="34">
        <v>51900000</v>
      </c>
      <c r="L139" s="8">
        <f t="shared" si="83"/>
        <v>41520000</v>
      </c>
      <c r="M139" s="8">
        <v>20760000</v>
      </c>
      <c r="N139" s="90">
        <f t="shared" si="84"/>
        <v>10380000</v>
      </c>
      <c r="O139" s="8">
        <v>0</v>
      </c>
      <c r="P139" s="61">
        <v>0</v>
      </c>
      <c r="Q139" s="8">
        <v>10380000</v>
      </c>
      <c r="R139" s="4">
        <v>10380000</v>
      </c>
      <c r="S139" s="90">
        <f t="shared" ref="S139:S153" si="86">N139-U139</f>
        <v>0</v>
      </c>
      <c r="T139" s="93">
        <f t="shared" ref="T139:T199" si="87">R139</f>
        <v>10380000</v>
      </c>
      <c r="U139" s="93">
        <f t="shared" ref="U139:U202" si="88">T139</f>
        <v>10380000</v>
      </c>
      <c r="V139" s="34">
        <v>230430</v>
      </c>
      <c r="W139" s="34">
        <v>3366556</v>
      </c>
      <c r="X139" s="4">
        <v>3373500</v>
      </c>
      <c r="Y139" s="4">
        <v>2704356</v>
      </c>
      <c r="Z139" s="90">
        <f t="shared" ref="Z139:Z153" si="89">S139</f>
        <v>0</v>
      </c>
      <c r="AA139" s="93">
        <f t="shared" ref="AA139:AA202" si="90">M139*6.5/100</f>
        <v>1349400</v>
      </c>
      <c r="AB139" s="90">
        <f t="shared" ref="AB139:AB202" si="91">N139*6.5/100</f>
        <v>674700</v>
      </c>
      <c r="AC139" s="4">
        <f t="shared" si="85"/>
        <v>0</v>
      </c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</row>
    <row r="140" spans="1:258" s="37" customFormat="1" ht="27.6" customHeight="1" x14ac:dyDescent="0.2">
      <c r="A140" s="80">
        <v>130</v>
      </c>
      <c r="B140" s="58" t="s">
        <v>241</v>
      </c>
      <c r="C140" s="9" t="s">
        <v>213</v>
      </c>
      <c r="D140" s="71">
        <v>191300000</v>
      </c>
      <c r="E140" s="9">
        <v>7</v>
      </c>
      <c r="F140" s="9">
        <v>2</v>
      </c>
      <c r="G140" s="62" t="s">
        <v>178</v>
      </c>
      <c r="H140" s="54">
        <v>6.5</v>
      </c>
      <c r="I140" s="34">
        <v>0</v>
      </c>
      <c r="J140" s="34">
        <v>191300000</v>
      </c>
      <c r="K140" s="34">
        <v>191300000</v>
      </c>
      <c r="L140" s="8">
        <f t="shared" si="83"/>
        <v>153040000</v>
      </c>
      <c r="M140" s="8">
        <v>76520000</v>
      </c>
      <c r="N140" s="90">
        <f t="shared" si="84"/>
        <v>38260000</v>
      </c>
      <c r="O140" s="8">
        <v>0</v>
      </c>
      <c r="P140" s="61">
        <v>0</v>
      </c>
      <c r="Q140" s="8">
        <v>38260000</v>
      </c>
      <c r="R140" s="4">
        <v>38260000</v>
      </c>
      <c r="S140" s="90">
        <f t="shared" si="86"/>
        <v>0</v>
      </c>
      <c r="T140" s="93">
        <f t="shared" si="87"/>
        <v>38260000</v>
      </c>
      <c r="U140" s="93">
        <f t="shared" si="88"/>
        <v>38260000</v>
      </c>
      <c r="V140" s="34">
        <v>8493511</v>
      </c>
      <c r="W140" s="34">
        <v>124089031</v>
      </c>
      <c r="X140" s="4">
        <v>12434500</v>
      </c>
      <c r="Y140" s="4">
        <v>99680775</v>
      </c>
      <c r="Z140" s="90">
        <f t="shared" si="89"/>
        <v>0</v>
      </c>
      <c r="AA140" s="93">
        <f t="shared" si="90"/>
        <v>4973800</v>
      </c>
      <c r="AB140" s="90">
        <f t="shared" si="91"/>
        <v>2486900</v>
      </c>
      <c r="AC140" s="4">
        <f t="shared" si="85"/>
        <v>0</v>
      </c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</row>
    <row r="141" spans="1:258" s="37" customFormat="1" ht="27.6" customHeight="1" x14ac:dyDescent="0.2">
      <c r="A141" s="9">
        <v>131</v>
      </c>
      <c r="B141" s="58" t="s">
        <v>241</v>
      </c>
      <c r="C141" s="9" t="s">
        <v>213</v>
      </c>
      <c r="D141" s="71">
        <v>38000000</v>
      </c>
      <c r="E141" s="9">
        <v>7</v>
      </c>
      <c r="F141" s="9">
        <v>2</v>
      </c>
      <c r="G141" s="62" t="s">
        <v>178</v>
      </c>
      <c r="H141" s="54">
        <v>6.5</v>
      </c>
      <c r="I141" s="34">
        <v>0</v>
      </c>
      <c r="J141" s="34">
        <v>38000000</v>
      </c>
      <c r="K141" s="34">
        <v>38000000</v>
      </c>
      <c r="L141" s="8">
        <f t="shared" si="83"/>
        <v>30400000</v>
      </c>
      <c r="M141" s="8">
        <v>15200000</v>
      </c>
      <c r="N141" s="90">
        <f t="shared" si="84"/>
        <v>7600000</v>
      </c>
      <c r="O141" s="8">
        <v>0</v>
      </c>
      <c r="P141" s="61">
        <v>0</v>
      </c>
      <c r="Q141" s="8">
        <v>7600000</v>
      </c>
      <c r="R141" s="4">
        <v>7600000</v>
      </c>
      <c r="S141" s="90">
        <f t="shared" si="86"/>
        <v>0</v>
      </c>
      <c r="T141" s="93">
        <f t="shared" si="87"/>
        <v>7600000</v>
      </c>
      <c r="U141" s="93">
        <f t="shared" si="88"/>
        <v>7600000</v>
      </c>
      <c r="V141" s="34">
        <v>168716</v>
      </c>
      <c r="W141" s="34">
        <v>2464915</v>
      </c>
      <c r="X141" s="4">
        <v>2470000</v>
      </c>
      <c r="Y141" s="4">
        <v>1980068</v>
      </c>
      <c r="Z141" s="90">
        <f t="shared" si="89"/>
        <v>0</v>
      </c>
      <c r="AA141" s="93">
        <f t="shared" si="90"/>
        <v>988000</v>
      </c>
      <c r="AB141" s="90">
        <f t="shared" si="91"/>
        <v>494000</v>
      </c>
      <c r="AC141" s="4">
        <f t="shared" si="85"/>
        <v>0</v>
      </c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</row>
    <row r="142" spans="1:258" s="37" customFormat="1" ht="27.6" customHeight="1" x14ac:dyDescent="0.2">
      <c r="A142" s="80">
        <v>132</v>
      </c>
      <c r="B142" s="58" t="s">
        <v>246</v>
      </c>
      <c r="C142" s="9" t="s">
        <v>213</v>
      </c>
      <c r="D142" s="71">
        <v>80000000</v>
      </c>
      <c r="E142" s="9">
        <v>7</v>
      </c>
      <c r="F142" s="9">
        <v>2</v>
      </c>
      <c r="G142" s="62" t="s">
        <v>178</v>
      </c>
      <c r="H142" s="54">
        <v>6.5</v>
      </c>
      <c r="I142" s="34">
        <v>0</v>
      </c>
      <c r="J142" s="34">
        <v>80000000</v>
      </c>
      <c r="K142" s="34">
        <v>80000000</v>
      </c>
      <c r="L142" s="8">
        <f t="shared" si="83"/>
        <v>64000000</v>
      </c>
      <c r="M142" s="8">
        <v>32000000</v>
      </c>
      <c r="N142" s="90">
        <f t="shared" si="84"/>
        <v>16000000</v>
      </c>
      <c r="O142" s="8">
        <v>0</v>
      </c>
      <c r="P142" s="61">
        <v>0</v>
      </c>
      <c r="Q142" s="8">
        <v>16000000</v>
      </c>
      <c r="R142" s="4">
        <v>16000000</v>
      </c>
      <c r="S142" s="90">
        <f t="shared" si="86"/>
        <v>0</v>
      </c>
      <c r="T142" s="93">
        <f t="shared" si="87"/>
        <v>16000000</v>
      </c>
      <c r="U142" s="93">
        <f t="shared" si="88"/>
        <v>16000000</v>
      </c>
      <c r="V142" s="34">
        <v>198907</v>
      </c>
      <c r="W142" s="34">
        <v>5189296</v>
      </c>
      <c r="X142" s="4">
        <v>5200000</v>
      </c>
      <c r="Y142" s="4">
        <v>4168564</v>
      </c>
      <c r="Z142" s="90">
        <f t="shared" si="89"/>
        <v>0</v>
      </c>
      <c r="AA142" s="93">
        <f t="shared" si="90"/>
        <v>2080000</v>
      </c>
      <c r="AB142" s="90">
        <f t="shared" si="91"/>
        <v>1040000</v>
      </c>
      <c r="AC142" s="4">
        <f t="shared" si="85"/>
        <v>0</v>
      </c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</row>
    <row r="143" spans="1:258" s="37" customFormat="1" ht="27.6" customHeight="1" x14ac:dyDescent="0.2">
      <c r="A143" s="9">
        <v>133</v>
      </c>
      <c r="B143" s="58" t="s">
        <v>246</v>
      </c>
      <c r="C143" s="9" t="s">
        <v>213</v>
      </c>
      <c r="D143" s="71">
        <v>11700000</v>
      </c>
      <c r="E143" s="9">
        <v>7</v>
      </c>
      <c r="F143" s="9">
        <v>2</v>
      </c>
      <c r="G143" s="62" t="s">
        <v>178</v>
      </c>
      <c r="H143" s="54">
        <v>6.5</v>
      </c>
      <c r="I143" s="34">
        <v>0</v>
      </c>
      <c r="J143" s="34">
        <v>11700000</v>
      </c>
      <c r="K143" s="34">
        <v>11700000</v>
      </c>
      <c r="L143" s="8">
        <f t="shared" si="83"/>
        <v>9360000</v>
      </c>
      <c r="M143" s="8">
        <v>4680000</v>
      </c>
      <c r="N143" s="90">
        <f t="shared" si="84"/>
        <v>2340000</v>
      </c>
      <c r="O143" s="8">
        <v>0</v>
      </c>
      <c r="P143" s="61">
        <v>0</v>
      </c>
      <c r="Q143" s="8">
        <v>2340000</v>
      </c>
      <c r="R143" s="4">
        <v>2340000</v>
      </c>
      <c r="S143" s="90">
        <f t="shared" si="86"/>
        <v>0</v>
      </c>
      <c r="T143" s="93">
        <f t="shared" si="87"/>
        <v>2340000</v>
      </c>
      <c r="U143" s="93">
        <f t="shared" si="88"/>
        <v>2340000</v>
      </c>
      <c r="V143" s="34">
        <v>29090</v>
      </c>
      <c r="W143" s="34">
        <v>758934</v>
      </c>
      <c r="X143" s="4">
        <v>760500</v>
      </c>
      <c r="Y143" s="4">
        <v>609652</v>
      </c>
      <c r="Z143" s="90">
        <f t="shared" si="89"/>
        <v>0</v>
      </c>
      <c r="AA143" s="93">
        <f t="shared" si="90"/>
        <v>304200</v>
      </c>
      <c r="AB143" s="90">
        <f t="shared" si="91"/>
        <v>152100</v>
      </c>
      <c r="AC143" s="4">
        <f t="shared" si="85"/>
        <v>0</v>
      </c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</row>
    <row r="144" spans="1:258" s="37" customFormat="1" ht="27.6" customHeight="1" x14ac:dyDescent="0.2">
      <c r="A144" s="80">
        <v>134</v>
      </c>
      <c r="B144" s="58" t="s">
        <v>246</v>
      </c>
      <c r="C144" s="9" t="s">
        <v>213</v>
      </c>
      <c r="D144" s="71">
        <v>9500000</v>
      </c>
      <c r="E144" s="9">
        <v>7</v>
      </c>
      <c r="F144" s="9">
        <v>2</v>
      </c>
      <c r="G144" s="62" t="s">
        <v>178</v>
      </c>
      <c r="H144" s="54">
        <v>6.5</v>
      </c>
      <c r="I144" s="34">
        <v>0</v>
      </c>
      <c r="J144" s="34">
        <v>9500000</v>
      </c>
      <c r="K144" s="34">
        <v>9500000</v>
      </c>
      <c r="L144" s="8">
        <f t="shared" si="83"/>
        <v>7600000</v>
      </c>
      <c r="M144" s="8">
        <v>3800000</v>
      </c>
      <c r="N144" s="90">
        <f t="shared" si="84"/>
        <v>1900000</v>
      </c>
      <c r="O144" s="8">
        <v>0</v>
      </c>
      <c r="P144" s="61">
        <v>0</v>
      </c>
      <c r="Q144" s="8">
        <v>1900000</v>
      </c>
      <c r="R144" s="4">
        <v>1900000</v>
      </c>
      <c r="S144" s="90">
        <f t="shared" si="86"/>
        <v>0</v>
      </c>
      <c r="T144" s="93">
        <f t="shared" si="87"/>
        <v>1900000</v>
      </c>
      <c r="U144" s="93">
        <f t="shared" si="88"/>
        <v>1900000</v>
      </c>
      <c r="V144" s="34">
        <v>23620</v>
      </c>
      <c r="W144" s="34">
        <v>616229</v>
      </c>
      <c r="X144" s="4">
        <v>617500</v>
      </c>
      <c r="Y144" s="4">
        <v>495017</v>
      </c>
      <c r="Z144" s="90">
        <f t="shared" si="89"/>
        <v>0</v>
      </c>
      <c r="AA144" s="93">
        <f t="shared" si="90"/>
        <v>247000</v>
      </c>
      <c r="AB144" s="90">
        <f t="shared" si="91"/>
        <v>123500</v>
      </c>
      <c r="AC144" s="4">
        <f t="shared" si="85"/>
        <v>0</v>
      </c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</row>
    <row r="145" spans="1:61" s="37" customFormat="1" ht="27.6" customHeight="1" x14ac:dyDescent="0.2">
      <c r="A145" s="9">
        <v>135</v>
      </c>
      <c r="B145" s="58" t="s">
        <v>252</v>
      </c>
      <c r="C145" s="9" t="s">
        <v>213</v>
      </c>
      <c r="D145" s="71">
        <v>44900000</v>
      </c>
      <c r="E145" s="9">
        <v>7</v>
      </c>
      <c r="F145" s="9">
        <v>2</v>
      </c>
      <c r="G145" s="62" t="s">
        <v>178</v>
      </c>
      <c r="H145" s="54">
        <v>6.5</v>
      </c>
      <c r="I145" s="34">
        <v>0</v>
      </c>
      <c r="J145" s="34">
        <v>44900000</v>
      </c>
      <c r="K145" s="34">
        <v>44900000</v>
      </c>
      <c r="L145" s="8">
        <f t="shared" si="83"/>
        <v>35920000</v>
      </c>
      <c r="M145" s="8">
        <v>17960000</v>
      </c>
      <c r="N145" s="90">
        <f t="shared" si="84"/>
        <v>8980000</v>
      </c>
      <c r="O145" s="8">
        <v>0</v>
      </c>
      <c r="P145" s="61">
        <v>0</v>
      </c>
      <c r="Q145" s="8">
        <v>8980000</v>
      </c>
      <c r="R145" s="4">
        <v>8980000</v>
      </c>
      <c r="S145" s="90">
        <f t="shared" si="86"/>
        <v>0</v>
      </c>
      <c r="T145" s="93">
        <f t="shared" si="87"/>
        <v>8980000</v>
      </c>
      <c r="U145" s="93">
        <f t="shared" si="88"/>
        <v>8980000</v>
      </c>
      <c r="V145" s="34">
        <v>47844</v>
      </c>
      <c r="W145" s="34">
        <v>2912492</v>
      </c>
      <c r="X145" s="4">
        <v>2918500</v>
      </c>
      <c r="Y145" s="4">
        <v>2339606</v>
      </c>
      <c r="Z145" s="90">
        <f t="shared" si="89"/>
        <v>0</v>
      </c>
      <c r="AA145" s="93">
        <f t="shared" si="90"/>
        <v>1167400</v>
      </c>
      <c r="AB145" s="90">
        <f t="shared" si="91"/>
        <v>583700</v>
      </c>
      <c r="AC145" s="4">
        <f t="shared" si="85"/>
        <v>0</v>
      </c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</row>
    <row r="146" spans="1:61" s="37" customFormat="1" ht="27.6" customHeight="1" x14ac:dyDescent="0.2">
      <c r="A146" s="80">
        <v>136</v>
      </c>
      <c r="B146" s="58" t="s">
        <v>252</v>
      </c>
      <c r="C146" s="9" t="s">
        <v>213</v>
      </c>
      <c r="D146" s="71">
        <v>177200000</v>
      </c>
      <c r="E146" s="9">
        <v>7</v>
      </c>
      <c r="F146" s="9">
        <v>2</v>
      </c>
      <c r="G146" s="62" t="s">
        <v>178</v>
      </c>
      <c r="H146" s="54">
        <v>6.5</v>
      </c>
      <c r="I146" s="34">
        <v>0</v>
      </c>
      <c r="J146" s="34">
        <v>177200000</v>
      </c>
      <c r="K146" s="34">
        <v>177200000</v>
      </c>
      <c r="L146" s="8">
        <f t="shared" si="83"/>
        <v>141760000</v>
      </c>
      <c r="M146" s="8">
        <v>70880000</v>
      </c>
      <c r="N146" s="90">
        <f t="shared" si="84"/>
        <v>35440000</v>
      </c>
      <c r="O146" s="8">
        <v>0</v>
      </c>
      <c r="P146" s="61">
        <v>0</v>
      </c>
      <c r="Q146" s="8">
        <v>35440000</v>
      </c>
      <c r="R146" s="4">
        <v>35440000</v>
      </c>
      <c r="S146" s="90">
        <f t="shared" si="86"/>
        <v>0</v>
      </c>
      <c r="T146" s="93">
        <f t="shared" si="87"/>
        <v>35440000</v>
      </c>
      <c r="U146" s="93">
        <f t="shared" si="88"/>
        <v>35440000</v>
      </c>
      <c r="V146" s="34">
        <v>188820</v>
      </c>
      <c r="W146" s="34">
        <v>11494290</v>
      </c>
      <c r="X146" s="4">
        <v>11518000</v>
      </c>
      <c r="Y146" s="4">
        <v>9233368</v>
      </c>
      <c r="Z146" s="90">
        <f t="shared" si="89"/>
        <v>0</v>
      </c>
      <c r="AA146" s="93">
        <f t="shared" si="90"/>
        <v>4607200</v>
      </c>
      <c r="AB146" s="90">
        <f t="shared" si="91"/>
        <v>2303600</v>
      </c>
      <c r="AC146" s="4">
        <f t="shared" si="85"/>
        <v>0</v>
      </c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</row>
    <row r="147" spans="1:61" s="37" customFormat="1" ht="27.6" customHeight="1" x14ac:dyDescent="0.2">
      <c r="A147" s="9">
        <v>137</v>
      </c>
      <c r="B147" s="58" t="s">
        <v>252</v>
      </c>
      <c r="C147" s="9" t="s">
        <v>213</v>
      </c>
      <c r="D147" s="71">
        <v>110000000</v>
      </c>
      <c r="E147" s="9">
        <v>7</v>
      </c>
      <c r="F147" s="9">
        <v>2</v>
      </c>
      <c r="G147" s="62" t="s">
        <v>178</v>
      </c>
      <c r="H147" s="54">
        <v>6.5</v>
      </c>
      <c r="I147" s="34">
        <v>0</v>
      </c>
      <c r="J147" s="34">
        <v>110000000</v>
      </c>
      <c r="K147" s="34">
        <v>110000000</v>
      </c>
      <c r="L147" s="8">
        <f t="shared" si="83"/>
        <v>88000000</v>
      </c>
      <c r="M147" s="8">
        <v>44000000</v>
      </c>
      <c r="N147" s="90">
        <f t="shared" si="84"/>
        <v>22000000</v>
      </c>
      <c r="O147" s="8">
        <v>0</v>
      </c>
      <c r="P147" s="61">
        <v>0</v>
      </c>
      <c r="Q147" s="8">
        <v>22000000</v>
      </c>
      <c r="R147" s="4">
        <v>22000000</v>
      </c>
      <c r="S147" s="90">
        <f t="shared" si="86"/>
        <v>0</v>
      </c>
      <c r="T147" s="93">
        <f t="shared" si="87"/>
        <v>22000000</v>
      </c>
      <c r="U147" s="93">
        <f t="shared" si="88"/>
        <v>22000000</v>
      </c>
      <c r="V147" s="34">
        <v>117213</v>
      </c>
      <c r="W147" s="34">
        <v>7135281</v>
      </c>
      <c r="X147" s="4">
        <v>7150000</v>
      </c>
      <c r="Y147" s="4">
        <v>5731775</v>
      </c>
      <c r="Z147" s="90">
        <f t="shared" si="89"/>
        <v>0</v>
      </c>
      <c r="AA147" s="93">
        <f t="shared" si="90"/>
        <v>2860000</v>
      </c>
      <c r="AB147" s="90">
        <f t="shared" si="91"/>
        <v>1430000</v>
      </c>
      <c r="AC147" s="4">
        <f t="shared" si="85"/>
        <v>0</v>
      </c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</row>
    <row r="148" spans="1:61" s="37" customFormat="1" ht="27.6" customHeight="1" x14ac:dyDescent="0.2">
      <c r="A148" s="80">
        <v>138</v>
      </c>
      <c r="B148" s="58" t="s">
        <v>252</v>
      </c>
      <c r="C148" s="9" t="s">
        <v>213</v>
      </c>
      <c r="D148" s="71">
        <v>48200000</v>
      </c>
      <c r="E148" s="9">
        <v>7</v>
      </c>
      <c r="F148" s="9">
        <v>2</v>
      </c>
      <c r="G148" s="62" t="s">
        <v>178</v>
      </c>
      <c r="H148" s="54">
        <v>6.5</v>
      </c>
      <c r="I148" s="34">
        <v>0</v>
      </c>
      <c r="J148" s="34">
        <v>48200000</v>
      </c>
      <c r="K148" s="34">
        <v>48200000</v>
      </c>
      <c r="L148" s="8">
        <f t="shared" si="83"/>
        <v>38560000</v>
      </c>
      <c r="M148" s="8">
        <v>19280000</v>
      </c>
      <c r="N148" s="90">
        <f t="shared" si="84"/>
        <v>9640000</v>
      </c>
      <c r="O148" s="8">
        <v>0</v>
      </c>
      <c r="P148" s="61">
        <v>0</v>
      </c>
      <c r="Q148" s="8">
        <v>9640000</v>
      </c>
      <c r="R148" s="4">
        <v>9640000</v>
      </c>
      <c r="S148" s="90">
        <f t="shared" si="86"/>
        <v>0</v>
      </c>
      <c r="T148" s="93">
        <f t="shared" si="87"/>
        <v>9640000</v>
      </c>
      <c r="U148" s="93">
        <f t="shared" si="88"/>
        <v>9640000</v>
      </c>
      <c r="V148" s="34">
        <v>51361</v>
      </c>
      <c r="W148" s="34">
        <v>3126551</v>
      </c>
      <c r="X148" s="4">
        <v>3133000</v>
      </c>
      <c r="Y148" s="4">
        <v>2511560</v>
      </c>
      <c r="Z148" s="90">
        <f t="shared" si="89"/>
        <v>0</v>
      </c>
      <c r="AA148" s="93">
        <f t="shared" si="90"/>
        <v>1253200</v>
      </c>
      <c r="AB148" s="90">
        <f t="shared" si="91"/>
        <v>626600</v>
      </c>
      <c r="AC148" s="4">
        <f t="shared" si="85"/>
        <v>0</v>
      </c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</row>
    <row r="149" spans="1:61" s="37" customFormat="1" ht="27.6" customHeight="1" x14ac:dyDescent="0.2">
      <c r="A149" s="9">
        <v>139</v>
      </c>
      <c r="B149" s="58" t="s">
        <v>252</v>
      </c>
      <c r="C149" s="9" t="s">
        <v>213</v>
      </c>
      <c r="D149" s="71">
        <v>55300000</v>
      </c>
      <c r="E149" s="9">
        <v>7</v>
      </c>
      <c r="F149" s="9">
        <v>2</v>
      </c>
      <c r="G149" s="62" t="s">
        <v>178</v>
      </c>
      <c r="H149" s="54">
        <v>6.5</v>
      </c>
      <c r="I149" s="34">
        <v>0</v>
      </c>
      <c r="J149" s="34">
        <v>55300000</v>
      </c>
      <c r="K149" s="34">
        <v>55300000</v>
      </c>
      <c r="L149" s="8">
        <f t="shared" si="83"/>
        <v>44240000</v>
      </c>
      <c r="M149" s="8">
        <v>22120000</v>
      </c>
      <c r="N149" s="90">
        <f t="shared" si="84"/>
        <v>11060000</v>
      </c>
      <c r="O149" s="8">
        <v>0</v>
      </c>
      <c r="P149" s="61">
        <v>0</v>
      </c>
      <c r="Q149" s="8">
        <v>11060000</v>
      </c>
      <c r="R149" s="4">
        <v>11060000</v>
      </c>
      <c r="S149" s="90">
        <f t="shared" si="86"/>
        <v>0</v>
      </c>
      <c r="T149" s="93">
        <f t="shared" si="87"/>
        <v>11060000</v>
      </c>
      <c r="U149" s="93">
        <f t="shared" si="88"/>
        <v>11060000</v>
      </c>
      <c r="V149" s="34">
        <v>58926</v>
      </c>
      <c r="W149" s="34">
        <v>3587101</v>
      </c>
      <c r="X149" s="4">
        <v>3594500</v>
      </c>
      <c r="Y149" s="4">
        <v>2881520</v>
      </c>
      <c r="Z149" s="90">
        <f t="shared" si="89"/>
        <v>0</v>
      </c>
      <c r="AA149" s="93">
        <f t="shared" si="90"/>
        <v>1437800</v>
      </c>
      <c r="AB149" s="90">
        <f t="shared" si="91"/>
        <v>718900</v>
      </c>
      <c r="AC149" s="4">
        <f t="shared" si="85"/>
        <v>0</v>
      </c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</row>
    <row r="150" spans="1:61" s="37" customFormat="1" ht="27.6" customHeight="1" x14ac:dyDescent="0.2">
      <c r="A150" s="80">
        <v>140</v>
      </c>
      <c r="B150" s="58" t="s">
        <v>237</v>
      </c>
      <c r="C150" s="9" t="s">
        <v>213</v>
      </c>
      <c r="D150" s="71">
        <v>6500000</v>
      </c>
      <c r="E150" s="9">
        <v>7</v>
      </c>
      <c r="F150" s="9">
        <v>2</v>
      </c>
      <c r="G150" s="62" t="s">
        <v>178</v>
      </c>
      <c r="H150" s="54">
        <v>6.5</v>
      </c>
      <c r="I150" s="34">
        <v>0</v>
      </c>
      <c r="J150" s="34">
        <v>6500000</v>
      </c>
      <c r="K150" s="34">
        <v>6500000</v>
      </c>
      <c r="L150" s="8">
        <f t="shared" si="83"/>
        <v>5200000</v>
      </c>
      <c r="M150" s="8">
        <v>2600000</v>
      </c>
      <c r="N150" s="90">
        <f t="shared" si="84"/>
        <v>1300000</v>
      </c>
      <c r="O150" s="8">
        <v>0</v>
      </c>
      <c r="P150" s="61">
        <v>0</v>
      </c>
      <c r="Q150" s="8">
        <v>1300000</v>
      </c>
      <c r="R150" s="4">
        <v>1300000</v>
      </c>
      <c r="S150" s="90">
        <f t="shared" si="86"/>
        <v>0</v>
      </c>
      <c r="T150" s="93">
        <f t="shared" si="87"/>
        <v>1300000</v>
      </c>
      <c r="U150" s="93">
        <f t="shared" si="88"/>
        <v>1300000</v>
      </c>
      <c r="V150" s="34">
        <v>4617</v>
      </c>
      <c r="W150" s="34">
        <v>421630</v>
      </c>
      <c r="X150" s="4">
        <v>422500</v>
      </c>
      <c r="Y150" s="4">
        <v>338696</v>
      </c>
      <c r="Z150" s="90">
        <f t="shared" si="89"/>
        <v>0</v>
      </c>
      <c r="AA150" s="93">
        <f t="shared" si="90"/>
        <v>169000</v>
      </c>
      <c r="AB150" s="90">
        <f t="shared" si="91"/>
        <v>84500</v>
      </c>
      <c r="AC150" s="4">
        <f t="shared" si="85"/>
        <v>0</v>
      </c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</row>
    <row r="151" spans="1:61" s="37" customFormat="1" ht="27.6" customHeight="1" x14ac:dyDescent="0.2">
      <c r="A151" s="9">
        <v>141</v>
      </c>
      <c r="B151" s="58" t="s">
        <v>237</v>
      </c>
      <c r="C151" s="9" t="s">
        <v>213</v>
      </c>
      <c r="D151" s="71">
        <v>32100000</v>
      </c>
      <c r="E151" s="9">
        <v>7</v>
      </c>
      <c r="F151" s="9">
        <v>2</v>
      </c>
      <c r="G151" s="62" t="s">
        <v>178</v>
      </c>
      <c r="H151" s="54">
        <v>6.5</v>
      </c>
      <c r="I151" s="34">
        <v>0</v>
      </c>
      <c r="J151" s="34">
        <v>32100000</v>
      </c>
      <c r="K151" s="34">
        <v>32100000</v>
      </c>
      <c r="L151" s="8">
        <f t="shared" si="83"/>
        <v>25680000</v>
      </c>
      <c r="M151" s="8">
        <v>12840000</v>
      </c>
      <c r="N151" s="90">
        <f t="shared" si="84"/>
        <v>6420000</v>
      </c>
      <c r="O151" s="8">
        <v>0</v>
      </c>
      <c r="P151" s="61">
        <v>0</v>
      </c>
      <c r="Q151" s="8">
        <v>6420000</v>
      </c>
      <c r="R151" s="4">
        <v>6420000</v>
      </c>
      <c r="S151" s="90">
        <f t="shared" si="86"/>
        <v>0</v>
      </c>
      <c r="T151" s="93">
        <f t="shared" si="87"/>
        <v>6420000</v>
      </c>
      <c r="U151" s="93">
        <f t="shared" si="88"/>
        <v>6420000</v>
      </c>
      <c r="V151" s="34">
        <v>22803</v>
      </c>
      <c r="W151" s="34">
        <v>2082205</v>
      </c>
      <c r="X151" s="4">
        <v>2086500</v>
      </c>
      <c r="Y151" s="4">
        <v>1672636</v>
      </c>
      <c r="Z151" s="90">
        <f t="shared" si="89"/>
        <v>0</v>
      </c>
      <c r="AA151" s="93">
        <f t="shared" si="90"/>
        <v>834600</v>
      </c>
      <c r="AB151" s="90">
        <f t="shared" si="91"/>
        <v>417300</v>
      </c>
      <c r="AC151" s="4">
        <f t="shared" si="85"/>
        <v>0</v>
      </c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</row>
    <row r="152" spans="1:61" s="37" customFormat="1" ht="27.6" customHeight="1" x14ac:dyDescent="0.2">
      <c r="A152" s="80">
        <v>142</v>
      </c>
      <c r="B152" s="58" t="s">
        <v>237</v>
      </c>
      <c r="C152" s="9" t="s">
        <v>213</v>
      </c>
      <c r="D152" s="71">
        <v>23700000</v>
      </c>
      <c r="E152" s="9">
        <v>7</v>
      </c>
      <c r="F152" s="9">
        <v>2</v>
      </c>
      <c r="G152" s="62" t="s">
        <v>178</v>
      </c>
      <c r="H152" s="54">
        <v>6.5</v>
      </c>
      <c r="I152" s="34">
        <v>0</v>
      </c>
      <c r="J152" s="34">
        <v>23700000</v>
      </c>
      <c r="K152" s="34">
        <v>23700000</v>
      </c>
      <c r="L152" s="8">
        <f t="shared" si="83"/>
        <v>18960000</v>
      </c>
      <c r="M152" s="8">
        <v>9480000</v>
      </c>
      <c r="N152" s="90">
        <f t="shared" si="84"/>
        <v>4740000</v>
      </c>
      <c r="O152" s="8">
        <v>0</v>
      </c>
      <c r="P152" s="61">
        <v>0</v>
      </c>
      <c r="Q152" s="8">
        <v>4740000</v>
      </c>
      <c r="R152" s="4">
        <v>4740000</v>
      </c>
      <c r="S152" s="90">
        <f t="shared" si="86"/>
        <v>0</v>
      </c>
      <c r="T152" s="93">
        <f t="shared" si="87"/>
        <v>4740000</v>
      </c>
      <c r="U152" s="93">
        <f t="shared" si="88"/>
        <v>4740000</v>
      </c>
      <c r="V152" s="34">
        <v>16836</v>
      </c>
      <c r="W152" s="34">
        <v>1537329</v>
      </c>
      <c r="X152" s="4">
        <v>1540500</v>
      </c>
      <c r="Y152" s="4">
        <v>1234937</v>
      </c>
      <c r="Z152" s="90">
        <f t="shared" si="89"/>
        <v>0</v>
      </c>
      <c r="AA152" s="93">
        <f t="shared" si="90"/>
        <v>616200</v>
      </c>
      <c r="AB152" s="90">
        <f t="shared" si="91"/>
        <v>308100</v>
      </c>
      <c r="AC152" s="4">
        <f t="shared" si="85"/>
        <v>0</v>
      </c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</row>
    <row r="153" spans="1:61" s="37" customFormat="1" ht="27.6" customHeight="1" x14ac:dyDescent="0.2">
      <c r="A153" s="9">
        <v>143</v>
      </c>
      <c r="B153" s="58" t="s">
        <v>237</v>
      </c>
      <c r="C153" s="9" t="s">
        <v>213</v>
      </c>
      <c r="D153" s="71">
        <v>2900000</v>
      </c>
      <c r="E153" s="9">
        <v>7</v>
      </c>
      <c r="F153" s="9">
        <v>2</v>
      </c>
      <c r="G153" s="62" t="s">
        <v>178</v>
      </c>
      <c r="H153" s="54">
        <v>6.5</v>
      </c>
      <c r="I153" s="34">
        <v>0</v>
      </c>
      <c r="J153" s="34">
        <v>2900000</v>
      </c>
      <c r="K153" s="34">
        <v>2900000</v>
      </c>
      <c r="L153" s="8">
        <f t="shared" si="83"/>
        <v>2320000</v>
      </c>
      <c r="M153" s="8">
        <v>1160000</v>
      </c>
      <c r="N153" s="90">
        <f t="shared" si="84"/>
        <v>580000</v>
      </c>
      <c r="O153" s="8">
        <v>0</v>
      </c>
      <c r="P153" s="61">
        <v>0</v>
      </c>
      <c r="Q153" s="8">
        <v>580000</v>
      </c>
      <c r="R153" s="4">
        <v>580000</v>
      </c>
      <c r="S153" s="90">
        <f t="shared" si="86"/>
        <v>0</v>
      </c>
      <c r="T153" s="93">
        <f t="shared" si="87"/>
        <v>580000</v>
      </c>
      <c r="U153" s="93">
        <f t="shared" si="88"/>
        <v>580000</v>
      </c>
      <c r="V153" s="34">
        <v>2060</v>
      </c>
      <c r="W153" s="34">
        <v>188112</v>
      </c>
      <c r="X153" s="4">
        <v>188500</v>
      </c>
      <c r="Y153" s="4">
        <v>151110</v>
      </c>
      <c r="Z153" s="90">
        <f t="shared" si="89"/>
        <v>0</v>
      </c>
      <c r="AA153" s="93">
        <f t="shared" si="90"/>
        <v>75400</v>
      </c>
      <c r="AB153" s="90">
        <f t="shared" si="91"/>
        <v>37700</v>
      </c>
      <c r="AC153" s="4">
        <f t="shared" si="85"/>
        <v>0</v>
      </c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</row>
    <row r="154" spans="1:61" s="37" customFormat="1" ht="27.6" customHeight="1" x14ac:dyDescent="0.2">
      <c r="A154" s="80">
        <v>144</v>
      </c>
      <c r="B154" s="58" t="s">
        <v>264</v>
      </c>
      <c r="C154" s="9" t="s">
        <v>213</v>
      </c>
      <c r="D154" s="71">
        <v>25700000</v>
      </c>
      <c r="E154" s="9">
        <v>7</v>
      </c>
      <c r="F154" s="9">
        <v>2</v>
      </c>
      <c r="G154" s="62" t="s">
        <v>178</v>
      </c>
      <c r="H154" s="54">
        <v>6.5</v>
      </c>
      <c r="I154" s="34">
        <v>0</v>
      </c>
      <c r="J154" s="34">
        <v>0</v>
      </c>
      <c r="K154" s="34">
        <v>25700000</v>
      </c>
      <c r="L154" s="8">
        <f t="shared" si="83"/>
        <v>25700000</v>
      </c>
      <c r="M154" s="8">
        <v>15420000</v>
      </c>
      <c r="N154" s="90">
        <f t="shared" si="84"/>
        <v>10280000</v>
      </c>
      <c r="O154" s="8">
        <v>0</v>
      </c>
      <c r="P154" s="61">
        <v>0</v>
      </c>
      <c r="Q154" s="8">
        <v>0</v>
      </c>
      <c r="R154" s="4">
        <v>5140000</v>
      </c>
      <c r="S154" s="90">
        <f>N154-U154</f>
        <v>5140000</v>
      </c>
      <c r="T154" s="93">
        <f t="shared" si="87"/>
        <v>5140000</v>
      </c>
      <c r="U154" s="93">
        <f t="shared" si="88"/>
        <v>5140000</v>
      </c>
      <c r="V154" s="34">
        <v>0</v>
      </c>
      <c r="W154" s="34">
        <v>1594034</v>
      </c>
      <c r="X154" s="4">
        <v>1670500</v>
      </c>
      <c r="Y154" s="4">
        <v>1366611</v>
      </c>
      <c r="Z154" s="4">
        <f>U154</f>
        <v>5140000</v>
      </c>
      <c r="AA154" s="93">
        <f t="shared" si="90"/>
        <v>1002300</v>
      </c>
      <c r="AB154" s="90">
        <f t="shared" si="91"/>
        <v>668200</v>
      </c>
      <c r="AC154" s="4">
        <f t="shared" si="85"/>
        <v>334100</v>
      </c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</row>
    <row r="155" spans="1:61" s="37" customFormat="1" ht="27.6" customHeight="1" x14ac:dyDescent="0.2">
      <c r="A155" s="9">
        <v>145</v>
      </c>
      <c r="B155" s="58" t="s">
        <v>264</v>
      </c>
      <c r="C155" s="9" t="s">
        <v>213</v>
      </c>
      <c r="D155" s="71">
        <v>24800000</v>
      </c>
      <c r="E155" s="9">
        <v>7</v>
      </c>
      <c r="F155" s="9">
        <v>2</v>
      </c>
      <c r="G155" s="62" t="s">
        <v>178</v>
      </c>
      <c r="H155" s="54">
        <v>6.5</v>
      </c>
      <c r="I155" s="34">
        <v>0</v>
      </c>
      <c r="J155" s="34">
        <v>0</v>
      </c>
      <c r="K155" s="34">
        <v>24800000</v>
      </c>
      <c r="L155" s="8">
        <f t="shared" si="83"/>
        <v>24800000</v>
      </c>
      <c r="M155" s="8">
        <v>14880000</v>
      </c>
      <c r="N155" s="90">
        <f t="shared" si="84"/>
        <v>9920000</v>
      </c>
      <c r="O155" s="8">
        <v>0</v>
      </c>
      <c r="P155" s="61">
        <v>0</v>
      </c>
      <c r="Q155" s="8">
        <v>0</v>
      </c>
      <c r="R155" s="4">
        <v>4960000</v>
      </c>
      <c r="S155" s="90">
        <f t="shared" ref="S155:S218" si="92">N155-U155</f>
        <v>4960000</v>
      </c>
      <c r="T155" s="93">
        <f t="shared" si="87"/>
        <v>4960000</v>
      </c>
      <c r="U155" s="93">
        <f t="shared" si="88"/>
        <v>4960000</v>
      </c>
      <c r="V155" s="34">
        <v>0</v>
      </c>
      <c r="W155" s="34">
        <v>1538212</v>
      </c>
      <c r="X155" s="4">
        <v>1612000</v>
      </c>
      <c r="Y155" s="4">
        <v>1318753</v>
      </c>
      <c r="Z155" s="4">
        <f t="shared" ref="Z155:Z218" si="93">U155</f>
        <v>4960000</v>
      </c>
      <c r="AA155" s="93">
        <f t="shared" si="90"/>
        <v>967200</v>
      </c>
      <c r="AB155" s="90">
        <f t="shared" si="91"/>
        <v>644800</v>
      </c>
      <c r="AC155" s="4">
        <f t="shared" si="85"/>
        <v>322400</v>
      </c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</row>
    <row r="156" spans="1:61" s="37" customFormat="1" ht="27.6" customHeight="1" x14ac:dyDescent="0.2">
      <c r="A156" s="80">
        <v>146</v>
      </c>
      <c r="B156" s="58" t="s">
        <v>265</v>
      </c>
      <c r="C156" s="9" t="s">
        <v>213</v>
      </c>
      <c r="D156" s="71">
        <v>95500000</v>
      </c>
      <c r="E156" s="9">
        <v>7</v>
      </c>
      <c r="F156" s="9">
        <v>2</v>
      </c>
      <c r="G156" s="62" t="s">
        <v>178</v>
      </c>
      <c r="H156" s="54">
        <v>6.5</v>
      </c>
      <c r="I156" s="34">
        <v>0</v>
      </c>
      <c r="J156" s="34">
        <v>0</v>
      </c>
      <c r="K156" s="34">
        <v>95500000</v>
      </c>
      <c r="L156" s="8">
        <f t="shared" si="83"/>
        <v>95500000</v>
      </c>
      <c r="M156" s="8">
        <v>57300000</v>
      </c>
      <c r="N156" s="90">
        <f t="shared" si="84"/>
        <v>38200000</v>
      </c>
      <c r="O156" s="8">
        <v>0</v>
      </c>
      <c r="P156" s="61">
        <v>0</v>
      </c>
      <c r="Q156" s="8">
        <v>0</v>
      </c>
      <c r="R156" s="4">
        <v>19100000</v>
      </c>
      <c r="S156" s="90">
        <f t="shared" si="92"/>
        <v>19100000</v>
      </c>
      <c r="T156" s="93">
        <f t="shared" si="87"/>
        <v>19100000</v>
      </c>
      <c r="U156" s="93">
        <f t="shared" si="88"/>
        <v>19100000</v>
      </c>
      <c r="V156" s="34">
        <v>0</v>
      </c>
      <c r="W156" s="34">
        <v>5804633</v>
      </c>
      <c r="X156" s="4">
        <v>6207500</v>
      </c>
      <c r="Y156" s="4">
        <v>5078264</v>
      </c>
      <c r="Z156" s="4">
        <f t="shared" si="93"/>
        <v>19100000</v>
      </c>
      <c r="AA156" s="93">
        <f t="shared" si="90"/>
        <v>3724500</v>
      </c>
      <c r="AB156" s="90">
        <f t="shared" si="91"/>
        <v>2483000</v>
      </c>
      <c r="AC156" s="4">
        <f t="shared" si="85"/>
        <v>1241500</v>
      </c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</row>
    <row r="157" spans="1:61" s="37" customFormat="1" ht="27.6" customHeight="1" x14ac:dyDescent="0.2">
      <c r="A157" s="9">
        <v>147</v>
      </c>
      <c r="B157" s="58" t="s">
        <v>266</v>
      </c>
      <c r="C157" s="9" t="s">
        <v>213</v>
      </c>
      <c r="D157" s="71">
        <v>128800000</v>
      </c>
      <c r="E157" s="9">
        <v>7</v>
      </c>
      <c r="F157" s="9">
        <v>2</v>
      </c>
      <c r="G157" s="62" t="s">
        <v>178</v>
      </c>
      <c r="H157" s="54">
        <v>6.5</v>
      </c>
      <c r="I157" s="34">
        <v>0</v>
      </c>
      <c r="J157" s="34">
        <v>0</v>
      </c>
      <c r="K157" s="34">
        <v>128800000</v>
      </c>
      <c r="L157" s="8">
        <f t="shared" si="83"/>
        <v>128800000</v>
      </c>
      <c r="M157" s="8">
        <v>77280000</v>
      </c>
      <c r="N157" s="90">
        <f t="shared" si="84"/>
        <v>51520000</v>
      </c>
      <c r="O157" s="8">
        <v>0</v>
      </c>
      <c r="P157" s="61">
        <v>0</v>
      </c>
      <c r="Q157" s="8">
        <v>0</v>
      </c>
      <c r="R157" s="4">
        <v>25760000</v>
      </c>
      <c r="S157" s="90">
        <f t="shared" si="92"/>
        <v>25760000</v>
      </c>
      <c r="T157" s="93">
        <f t="shared" si="87"/>
        <v>25760000</v>
      </c>
      <c r="U157" s="93">
        <f t="shared" si="88"/>
        <v>25760000</v>
      </c>
      <c r="V157" s="34">
        <v>0</v>
      </c>
      <c r="W157" s="34">
        <v>7394045</v>
      </c>
      <c r="X157" s="4">
        <v>8372000</v>
      </c>
      <c r="Y157" s="4">
        <v>6991218</v>
      </c>
      <c r="Z157" s="4">
        <f t="shared" si="93"/>
        <v>25760000</v>
      </c>
      <c r="AA157" s="93">
        <f t="shared" si="90"/>
        <v>5023200</v>
      </c>
      <c r="AB157" s="90">
        <f t="shared" si="91"/>
        <v>3348800</v>
      </c>
      <c r="AC157" s="4">
        <f t="shared" si="85"/>
        <v>1674400</v>
      </c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</row>
    <row r="158" spans="1:61" s="37" customFormat="1" ht="27.6" customHeight="1" x14ac:dyDescent="0.2">
      <c r="A158" s="80">
        <v>148</v>
      </c>
      <c r="B158" s="58" t="s">
        <v>267</v>
      </c>
      <c r="C158" s="9" t="s">
        <v>213</v>
      </c>
      <c r="D158" s="71">
        <v>89000000</v>
      </c>
      <c r="E158" s="9">
        <v>7</v>
      </c>
      <c r="F158" s="9">
        <v>2</v>
      </c>
      <c r="G158" s="62" t="s">
        <v>178</v>
      </c>
      <c r="H158" s="54">
        <v>6.5</v>
      </c>
      <c r="I158" s="34">
        <v>0</v>
      </c>
      <c r="J158" s="34">
        <v>0</v>
      </c>
      <c r="K158" s="34">
        <v>89000000</v>
      </c>
      <c r="L158" s="8">
        <f t="shared" si="83"/>
        <v>89000000</v>
      </c>
      <c r="M158" s="8">
        <v>53400000</v>
      </c>
      <c r="N158" s="90">
        <f t="shared" si="84"/>
        <v>35600000</v>
      </c>
      <c r="O158" s="8">
        <v>0</v>
      </c>
      <c r="P158" s="61">
        <v>0</v>
      </c>
      <c r="Q158" s="8">
        <v>0</v>
      </c>
      <c r="R158" s="4">
        <v>17800000</v>
      </c>
      <c r="S158" s="90">
        <f t="shared" si="92"/>
        <v>17800000</v>
      </c>
      <c r="T158" s="93">
        <f t="shared" si="87"/>
        <v>17800000</v>
      </c>
      <c r="U158" s="93">
        <f t="shared" si="88"/>
        <v>17800000</v>
      </c>
      <c r="V158" s="34">
        <v>0</v>
      </c>
      <c r="W158" s="34">
        <v>4745701</v>
      </c>
      <c r="X158" s="4">
        <v>5785000</v>
      </c>
      <c r="Y158" s="4">
        <v>4925984</v>
      </c>
      <c r="Z158" s="4">
        <f t="shared" si="93"/>
        <v>17800000</v>
      </c>
      <c r="AA158" s="93">
        <f t="shared" si="90"/>
        <v>3471000</v>
      </c>
      <c r="AB158" s="90">
        <f t="shared" si="91"/>
        <v>2314000</v>
      </c>
      <c r="AC158" s="4">
        <f t="shared" si="85"/>
        <v>1157000</v>
      </c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</row>
    <row r="159" spans="1:61" s="37" customFormat="1" ht="27.6" customHeight="1" x14ac:dyDescent="0.2">
      <c r="A159" s="9">
        <v>149</v>
      </c>
      <c r="B159" s="58" t="s">
        <v>268</v>
      </c>
      <c r="C159" s="9" t="s">
        <v>213</v>
      </c>
      <c r="D159" s="71">
        <v>299700000</v>
      </c>
      <c r="E159" s="9">
        <v>7</v>
      </c>
      <c r="F159" s="9">
        <v>2</v>
      </c>
      <c r="G159" s="62" t="s">
        <v>178</v>
      </c>
      <c r="H159" s="54">
        <v>6.5</v>
      </c>
      <c r="I159" s="34">
        <v>0</v>
      </c>
      <c r="J159" s="34">
        <v>0</v>
      </c>
      <c r="K159" s="34">
        <v>299700000</v>
      </c>
      <c r="L159" s="8">
        <f t="shared" si="83"/>
        <v>299700000</v>
      </c>
      <c r="M159" s="8">
        <v>179820000</v>
      </c>
      <c r="N159" s="90">
        <f t="shared" si="84"/>
        <v>119880000</v>
      </c>
      <c r="O159" s="8">
        <v>0</v>
      </c>
      <c r="P159" s="61">
        <v>0</v>
      </c>
      <c r="Q159" s="8">
        <v>0</v>
      </c>
      <c r="R159" s="4">
        <v>59940000</v>
      </c>
      <c r="S159" s="90">
        <f t="shared" si="92"/>
        <v>59940000</v>
      </c>
      <c r="T159" s="93">
        <f t="shared" si="87"/>
        <v>59940000</v>
      </c>
      <c r="U159" s="93">
        <f t="shared" si="88"/>
        <v>59940000</v>
      </c>
      <c r="V159" s="34">
        <v>0</v>
      </c>
      <c r="W159" s="34">
        <v>15342042</v>
      </c>
      <c r="X159" s="4">
        <v>19480500</v>
      </c>
      <c r="Y159" s="4">
        <v>16587838</v>
      </c>
      <c r="Z159" s="4">
        <f t="shared" si="93"/>
        <v>59940000</v>
      </c>
      <c r="AA159" s="93">
        <f t="shared" si="90"/>
        <v>11688300</v>
      </c>
      <c r="AB159" s="90">
        <f t="shared" si="91"/>
        <v>7792200</v>
      </c>
      <c r="AC159" s="4">
        <f t="shared" si="85"/>
        <v>3896100</v>
      </c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</row>
    <row r="160" spans="1:61" s="37" customFormat="1" ht="27.6" customHeight="1" x14ac:dyDescent="0.2">
      <c r="A160" s="80">
        <v>150</v>
      </c>
      <c r="B160" s="58" t="s">
        <v>243</v>
      </c>
      <c r="C160" s="9" t="s">
        <v>213</v>
      </c>
      <c r="D160" s="71">
        <v>40000000</v>
      </c>
      <c r="E160" s="9">
        <v>7</v>
      </c>
      <c r="F160" s="9">
        <v>2</v>
      </c>
      <c r="G160" s="62" t="s">
        <v>178</v>
      </c>
      <c r="H160" s="54">
        <v>6.5</v>
      </c>
      <c r="I160" s="34">
        <v>0</v>
      </c>
      <c r="J160" s="34"/>
      <c r="K160" s="34">
        <v>40000000</v>
      </c>
      <c r="L160" s="8">
        <f t="shared" si="83"/>
        <v>40000000</v>
      </c>
      <c r="M160" s="8">
        <v>24000000</v>
      </c>
      <c r="N160" s="90">
        <f t="shared" si="84"/>
        <v>16000000</v>
      </c>
      <c r="O160" s="8">
        <v>0</v>
      </c>
      <c r="P160" s="61">
        <v>0</v>
      </c>
      <c r="Q160" s="8">
        <v>0</v>
      </c>
      <c r="R160" s="4">
        <v>8000000</v>
      </c>
      <c r="S160" s="90">
        <f t="shared" si="92"/>
        <v>8000000</v>
      </c>
      <c r="T160" s="93">
        <f t="shared" si="87"/>
        <v>8000000</v>
      </c>
      <c r="U160" s="93">
        <f t="shared" si="88"/>
        <v>8000000</v>
      </c>
      <c r="V160" s="34">
        <v>0</v>
      </c>
      <c r="W160" s="34">
        <v>1983719</v>
      </c>
      <c r="X160" s="4">
        <v>2600000</v>
      </c>
      <c r="Y160" s="4">
        <v>2213926</v>
      </c>
      <c r="Z160" s="4">
        <f t="shared" si="93"/>
        <v>8000000</v>
      </c>
      <c r="AA160" s="93">
        <f t="shared" si="90"/>
        <v>1560000</v>
      </c>
      <c r="AB160" s="90">
        <f t="shared" si="91"/>
        <v>1040000</v>
      </c>
      <c r="AC160" s="4">
        <f t="shared" si="85"/>
        <v>520000</v>
      </c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</row>
    <row r="161" spans="1:61" s="37" customFormat="1" ht="27.6" customHeight="1" x14ac:dyDescent="0.2">
      <c r="A161" s="9">
        <v>151</v>
      </c>
      <c r="B161" s="58" t="s">
        <v>269</v>
      </c>
      <c r="C161" s="9" t="s">
        <v>213</v>
      </c>
      <c r="D161" s="71">
        <v>7700000</v>
      </c>
      <c r="E161" s="9">
        <v>7</v>
      </c>
      <c r="F161" s="9">
        <v>2</v>
      </c>
      <c r="G161" s="62" t="s">
        <v>178</v>
      </c>
      <c r="H161" s="54">
        <v>6.5</v>
      </c>
      <c r="I161" s="34">
        <v>0</v>
      </c>
      <c r="J161" s="34"/>
      <c r="K161" s="34">
        <v>7700000</v>
      </c>
      <c r="L161" s="8">
        <f t="shared" si="83"/>
        <v>7700000</v>
      </c>
      <c r="M161" s="8">
        <v>4620000</v>
      </c>
      <c r="N161" s="90">
        <f t="shared" si="84"/>
        <v>3080000</v>
      </c>
      <c r="O161" s="8">
        <v>0</v>
      </c>
      <c r="P161" s="61">
        <v>0</v>
      </c>
      <c r="Q161" s="8">
        <v>0</v>
      </c>
      <c r="R161" s="4">
        <v>1540000</v>
      </c>
      <c r="S161" s="90">
        <f t="shared" si="92"/>
        <v>1540000</v>
      </c>
      <c r="T161" s="93">
        <f t="shared" si="87"/>
        <v>1540000</v>
      </c>
      <c r="U161" s="93">
        <f t="shared" si="88"/>
        <v>1540000</v>
      </c>
      <c r="V161" s="34">
        <v>0</v>
      </c>
      <c r="W161" s="34">
        <v>353149</v>
      </c>
      <c r="X161" s="4">
        <v>500500</v>
      </c>
      <c r="Y161" s="4">
        <v>434682</v>
      </c>
      <c r="Z161" s="4">
        <f t="shared" si="93"/>
        <v>1540000</v>
      </c>
      <c r="AA161" s="93">
        <f t="shared" si="90"/>
        <v>300300</v>
      </c>
      <c r="AB161" s="90">
        <f t="shared" si="91"/>
        <v>200200</v>
      </c>
      <c r="AC161" s="4">
        <f t="shared" si="85"/>
        <v>100100</v>
      </c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</row>
    <row r="162" spans="1:61" s="37" customFormat="1" ht="27.6" customHeight="1" x14ac:dyDescent="0.2">
      <c r="A162" s="80">
        <v>152</v>
      </c>
      <c r="B162" s="58" t="s">
        <v>269</v>
      </c>
      <c r="C162" s="9" t="s">
        <v>213</v>
      </c>
      <c r="D162" s="71">
        <v>3300000</v>
      </c>
      <c r="E162" s="9">
        <v>7</v>
      </c>
      <c r="F162" s="9">
        <v>2</v>
      </c>
      <c r="G162" s="62" t="s">
        <v>178</v>
      </c>
      <c r="H162" s="54">
        <v>6.5</v>
      </c>
      <c r="I162" s="34">
        <v>0</v>
      </c>
      <c r="J162" s="34"/>
      <c r="K162" s="34">
        <v>3300000</v>
      </c>
      <c r="L162" s="8">
        <f t="shared" si="83"/>
        <v>3300000</v>
      </c>
      <c r="M162" s="8">
        <v>1980000</v>
      </c>
      <c r="N162" s="90">
        <f t="shared" si="84"/>
        <v>1320000</v>
      </c>
      <c r="O162" s="8">
        <v>0</v>
      </c>
      <c r="P162" s="61">
        <v>0</v>
      </c>
      <c r="Q162" s="8">
        <v>0</v>
      </c>
      <c r="R162" s="4">
        <v>660000</v>
      </c>
      <c r="S162" s="90">
        <f t="shared" si="92"/>
        <v>660000</v>
      </c>
      <c r="T162" s="93">
        <f t="shared" si="87"/>
        <v>660000</v>
      </c>
      <c r="U162" s="93">
        <f t="shared" si="88"/>
        <v>660000</v>
      </c>
      <c r="V162" s="34">
        <v>0</v>
      </c>
      <c r="W162" s="34">
        <v>151349</v>
      </c>
      <c r="X162" s="4">
        <v>214500</v>
      </c>
      <c r="Y162" s="4">
        <v>186292</v>
      </c>
      <c r="Z162" s="4">
        <f t="shared" si="93"/>
        <v>660000</v>
      </c>
      <c r="AA162" s="93">
        <f t="shared" si="90"/>
        <v>128700</v>
      </c>
      <c r="AB162" s="90">
        <f t="shared" si="91"/>
        <v>85800</v>
      </c>
      <c r="AC162" s="4">
        <f t="shared" si="85"/>
        <v>42900</v>
      </c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</row>
    <row r="163" spans="1:61" s="37" customFormat="1" ht="27.6" customHeight="1" x14ac:dyDescent="0.2">
      <c r="A163" s="9">
        <v>153</v>
      </c>
      <c r="B163" s="58" t="s">
        <v>260</v>
      </c>
      <c r="C163" s="9" t="s">
        <v>213</v>
      </c>
      <c r="D163" s="71">
        <v>2900000</v>
      </c>
      <c r="E163" s="9">
        <v>7</v>
      </c>
      <c r="F163" s="9">
        <v>2</v>
      </c>
      <c r="G163" s="62" t="s">
        <v>178</v>
      </c>
      <c r="H163" s="54">
        <v>6.5</v>
      </c>
      <c r="I163" s="34">
        <v>0</v>
      </c>
      <c r="J163" s="34"/>
      <c r="K163" s="34">
        <v>2900000</v>
      </c>
      <c r="L163" s="8">
        <f t="shared" si="83"/>
        <v>2900000</v>
      </c>
      <c r="M163" s="8">
        <v>1740000</v>
      </c>
      <c r="N163" s="90">
        <f t="shared" si="84"/>
        <v>1160000</v>
      </c>
      <c r="O163" s="8"/>
      <c r="P163" s="61">
        <v>0</v>
      </c>
      <c r="Q163" s="8">
        <v>0</v>
      </c>
      <c r="R163" s="4">
        <v>580000</v>
      </c>
      <c r="S163" s="90">
        <f t="shared" si="92"/>
        <v>580000</v>
      </c>
      <c r="T163" s="93">
        <f t="shared" si="87"/>
        <v>580000</v>
      </c>
      <c r="U163" s="93">
        <f t="shared" si="88"/>
        <v>580000</v>
      </c>
      <c r="V163" s="34"/>
      <c r="W163" s="34">
        <v>108798</v>
      </c>
      <c r="X163" s="4">
        <v>188500</v>
      </c>
      <c r="Y163" s="4">
        <v>166913</v>
      </c>
      <c r="Z163" s="4">
        <f t="shared" si="93"/>
        <v>580000</v>
      </c>
      <c r="AA163" s="93">
        <f t="shared" si="90"/>
        <v>113100</v>
      </c>
      <c r="AB163" s="90">
        <f t="shared" si="91"/>
        <v>75400</v>
      </c>
      <c r="AC163" s="4">
        <f t="shared" si="85"/>
        <v>37700</v>
      </c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</row>
    <row r="164" spans="1:61" s="37" customFormat="1" ht="27.6" customHeight="1" x14ac:dyDescent="0.2">
      <c r="A164" s="80">
        <v>154</v>
      </c>
      <c r="B164" s="58" t="s">
        <v>260</v>
      </c>
      <c r="C164" s="9" t="s">
        <v>213</v>
      </c>
      <c r="D164" s="71">
        <v>28600000</v>
      </c>
      <c r="E164" s="9">
        <v>7</v>
      </c>
      <c r="F164" s="9">
        <v>2</v>
      </c>
      <c r="G164" s="62" t="s">
        <v>178</v>
      </c>
      <c r="H164" s="54">
        <v>6.5</v>
      </c>
      <c r="I164" s="34">
        <v>0</v>
      </c>
      <c r="J164" s="34"/>
      <c r="K164" s="34">
        <v>28600000</v>
      </c>
      <c r="L164" s="8">
        <f t="shared" si="83"/>
        <v>28600000</v>
      </c>
      <c r="M164" s="8">
        <v>17160000</v>
      </c>
      <c r="N164" s="90">
        <f t="shared" si="84"/>
        <v>11440000</v>
      </c>
      <c r="O164" s="8"/>
      <c r="P164" s="61">
        <v>0</v>
      </c>
      <c r="Q164" s="8">
        <v>0</v>
      </c>
      <c r="R164" s="4">
        <v>5720000</v>
      </c>
      <c r="S164" s="90">
        <f t="shared" si="92"/>
        <v>5720000</v>
      </c>
      <c r="T164" s="93">
        <f t="shared" si="87"/>
        <v>5720000</v>
      </c>
      <c r="U164" s="93">
        <f t="shared" si="88"/>
        <v>5720000</v>
      </c>
      <c r="V164" s="34"/>
      <c r="W164" s="34">
        <v>1072971</v>
      </c>
      <c r="X164" s="4">
        <v>1859000</v>
      </c>
      <c r="Y164" s="4">
        <v>1646112</v>
      </c>
      <c r="Z164" s="4">
        <f t="shared" si="93"/>
        <v>5720000</v>
      </c>
      <c r="AA164" s="93">
        <f t="shared" si="90"/>
        <v>1115400</v>
      </c>
      <c r="AB164" s="90">
        <f t="shared" si="91"/>
        <v>743600</v>
      </c>
      <c r="AC164" s="4">
        <f t="shared" si="85"/>
        <v>371800</v>
      </c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</row>
    <row r="165" spans="1:61" s="37" customFormat="1" ht="27.6" customHeight="1" x14ac:dyDescent="0.2">
      <c r="A165" s="9">
        <v>155</v>
      </c>
      <c r="B165" s="58" t="s">
        <v>270</v>
      </c>
      <c r="C165" s="9" t="s">
        <v>213</v>
      </c>
      <c r="D165" s="71">
        <v>37800000</v>
      </c>
      <c r="E165" s="9">
        <v>7</v>
      </c>
      <c r="F165" s="9">
        <v>2</v>
      </c>
      <c r="G165" s="62" t="s">
        <v>178</v>
      </c>
      <c r="H165" s="54">
        <v>6.5</v>
      </c>
      <c r="I165" s="34">
        <v>0</v>
      </c>
      <c r="J165" s="34"/>
      <c r="K165" s="34">
        <v>37800000</v>
      </c>
      <c r="L165" s="8">
        <f t="shared" si="83"/>
        <v>37800000</v>
      </c>
      <c r="M165" s="8">
        <v>22680000</v>
      </c>
      <c r="N165" s="90">
        <f t="shared" si="84"/>
        <v>15120000</v>
      </c>
      <c r="O165" s="8"/>
      <c r="P165" s="61">
        <v>0</v>
      </c>
      <c r="Q165" s="8">
        <v>0</v>
      </c>
      <c r="R165" s="4">
        <v>7560000</v>
      </c>
      <c r="S165" s="90">
        <f t="shared" si="92"/>
        <v>7560000</v>
      </c>
      <c r="T165" s="93">
        <f t="shared" si="87"/>
        <v>7560000</v>
      </c>
      <c r="U165" s="93">
        <f t="shared" si="88"/>
        <v>7560000</v>
      </c>
      <c r="V165" s="34"/>
      <c r="W165" s="34">
        <v>1324139</v>
      </c>
      <c r="X165" s="4">
        <v>2457000</v>
      </c>
      <c r="Y165" s="4">
        <v>2216019</v>
      </c>
      <c r="Z165" s="4">
        <f t="shared" si="93"/>
        <v>7560000</v>
      </c>
      <c r="AA165" s="93">
        <f t="shared" si="90"/>
        <v>1474200</v>
      </c>
      <c r="AB165" s="90">
        <f t="shared" si="91"/>
        <v>982800</v>
      </c>
      <c r="AC165" s="4">
        <f t="shared" si="85"/>
        <v>491400</v>
      </c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</row>
    <row r="166" spans="1:61" s="37" customFormat="1" ht="27.6" customHeight="1" x14ac:dyDescent="0.2">
      <c r="A166" s="80">
        <v>156</v>
      </c>
      <c r="B166" s="58" t="s">
        <v>270</v>
      </c>
      <c r="C166" s="9" t="s">
        <v>213</v>
      </c>
      <c r="D166" s="71">
        <v>9600000</v>
      </c>
      <c r="E166" s="9">
        <v>7</v>
      </c>
      <c r="F166" s="9">
        <v>2</v>
      </c>
      <c r="G166" s="62" t="s">
        <v>178</v>
      </c>
      <c r="H166" s="54">
        <v>6.5</v>
      </c>
      <c r="I166" s="34">
        <v>0</v>
      </c>
      <c r="J166" s="34"/>
      <c r="K166" s="34">
        <v>9600000</v>
      </c>
      <c r="L166" s="8">
        <f t="shared" si="83"/>
        <v>9600000</v>
      </c>
      <c r="M166" s="8">
        <v>5760000</v>
      </c>
      <c r="N166" s="90">
        <f t="shared" si="84"/>
        <v>3840000</v>
      </c>
      <c r="O166" s="8"/>
      <c r="P166" s="61">
        <v>0</v>
      </c>
      <c r="Q166" s="8">
        <v>0</v>
      </c>
      <c r="R166" s="4">
        <v>1920000</v>
      </c>
      <c r="S166" s="90">
        <f t="shared" si="92"/>
        <v>1920000</v>
      </c>
      <c r="T166" s="93">
        <f t="shared" si="87"/>
        <v>1920000</v>
      </c>
      <c r="U166" s="93">
        <f t="shared" si="88"/>
        <v>1920000</v>
      </c>
      <c r="V166" s="34"/>
      <c r="W166" s="34">
        <v>336289</v>
      </c>
      <c r="X166" s="4">
        <v>624000</v>
      </c>
      <c r="Y166" s="4">
        <v>562799</v>
      </c>
      <c r="Z166" s="4">
        <f t="shared" si="93"/>
        <v>1920000</v>
      </c>
      <c r="AA166" s="93">
        <f t="shared" si="90"/>
        <v>374400</v>
      </c>
      <c r="AB166" s="90">
        <f t="shared" si="91"/>
        <v>249600</v>
      </c>
      <c r="AC166" s="4">
        <f t="shared" si="85"/>
        <v>124800</v>
      </c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</row>
    <row r="167" spans="1:61" s="37" customFormat="1" ht="27.6" customHeight="1" x14ac:dyDescent="0.2">
      <c r="A167" s="9">
        <v>157</v>
      </c>
      <c r="B167" s="58" t="s">
        <v>271</v>
      </c>
      <c r="C167" s="9" t="s">
        <v>213</v>
      </c>
      <c r="D167" s="71">
        <v>35700000</v>
      </c>
      <c r="E167" s="9">
        <v>7</v>
      </c>
      <c r="F167" s="9">
        <v>2</v>
      </c>
      <c r="G167" s="62" t="s">
        <v>178</v>
      </c>
      <c r="H167" s="54">
        <v>6.5</v>
      </c>
      <c r="I167" s="34"/>
      <c r="J167" s="34"/>
      <c r="K167" s="34">
        <v>35700000</v>
      </c>
      <c r="L167" s="8">
        <f t="shared" si="83"/>
        <v>35700000</v>
      </c>
      <c r="M167" s="8">
        <v>21420000</v>
      </c>
      <c r="N167" s="90">
        <f t="shared" si="84"/>
        <v>14280000</v>
      </c>
      <c r="O167" s="8"/>
      <c r="P167" s="61">
        <v>0</v>
      </c>
      <c r="Q167" s="8">
        <v>0</v>
      </c>
      <c r="R167" s="4">
        <v>7140000</v>
      </c>
      <c r="S167" s="90">
        <f t="shared" si="92"/>
        <v>7140000</v>
      </c>
      <c r="T167" s="93">
        <f t="shared" si="87"/>
        <v>7140000</v>
      </c>
      <c r="U167" s="93">
        <f t="shared" si="88"/>
        <v>7140000</v>
      </c>
      <c r="V167" s="34"/>
      <c r="W167" s="34">
        <v>1206194</v>
      </c>
      <c r="X167" s="4">
        <v>2320500</v>
      </c>
      <c r="Y167" s="4">
        <v>2092907</v>
      </c>
      <c r="Z167" s="4">
        <f t="shared" si="93"/>
        <v>7140000</v>
      </c>
      <c r="AA167" s="93">
        <f t="shared" si="90"/>
        <v>1392300</v>
      </c>
      <c r="AB167" s="90">
        <f t="shared" si="91"/>
        <v>928200</v>
      </c>
      <c r="AC167" s="4">
        <f t="shared" si="85"/>
        <v>464100</v>
      </c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</row>
    <row r="168" spans="1:61" s="37" customFormat="1" ht="27.6" customHeight="1" x14ac:dyDescent="0.2">
      <c r="A168" s="80">
        <v>158</v>
      </c>
      <c r="B168" s="58" t="s">
        <v>272</v>
      </c>
      <c r="C168" s="9" t="s">
        <v>213</v>
      </c>
      <c r="D168" s="71">
        <v>24900000</v>
      </c>
      <c r="E168" s="9">
        <v>7</v>
      </c>
      <c r="F168" s="9">
        <v>2</v>
      </c>
      <c r="G168" s="62" t="s">
        <v>178</v>
      </c>
      <c r="H168" s="54">
        <v>6.5</v>
      </c>
      <c r="I168" s="34"/>
      <c r="J168" s="34"/>
      <c r="K168" s="34">
        <v>24900000</v>
      </c>
      <c r="L168" s="8">
        <f t="shared" si="83"/>
        <v>24900000</v>
      </c>
      <c r="M168" s="8">
        <v>14940000</v>
      </c>
      <c r="N168" s="90">
        <f t="shared" si="84"/>
        <v>9960000</v>
      </c>
      <c r="O168" s="8"/>
      <c r="P168" s="61">
        <v>0</v>
      </c>
      <c r="Q168" s="8">
        <v>0</v>
      </c>
      <c r="R168" s="4">
        <v>4980000</v>
      </c>
      <c r="S168" s="90">
        <f t="shared" si="92"/>
        <v>4980000</v>
      </c>
      <c r="T168" s="93">
        <f t="shared" si="87"/>
        <v>4980000</v>
      </c>
      <c r="U168" s="93">
        <f t="shared" si="88"/>
        <v>4980000</v>
      </c>
      <c r="V168" s="34"/>
      <c r="W168" s="34">
        <v>828029</v>
      </c>
      <c r="X168" s="4">
        <v>1618500</v>
      </c>
      <c r="Y168" s="4">
        <v>1459759</v>
      </c>
      <c r="Z168" s="4">
        <f t="shared" si="93"/>
        <v>4980000</v>
      </c>
      <c r="AA168" s="93">
        <f t="shared" si="90"/>
        <v>971100</v>
      </c>
      <c r="AB168" s="90">
        <f t="shared" si="91"/>
        <v>647400</v>
      </c>
      <c r="AC168" s="4">
        <f t="shared" si="85"/>
        <v>323700</v>
      </c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</row>
    <row r="169" spans="1:61" s="37" customFormat="1" ht="27.6" customHeight="1" x14ac:dyDescent="0.2">
      <c r="A169" s="9">
        <v>159</v>
      </c>
      <c r="B169" s="58" t="s">
        <v>272</v>
      </c>
      <c r="C169" s="9" t="s">
        <v>213</v>
      </c>
      <c r="D169" s="71">
        <v>14000000</v>
      </c>
      <c r="E169" s="9">
        <v>7</v>
      </c>
      <c r="F169" s="9">
        <v>2</v>
      </c>
      <c r="G169" s="62" t="s">
        <v>178</v>
      </c>
      <c r="H169" s="54">
        <v>6.5</v>
      </c>
      <c r="I169" s="34"/>
      <c r="J169" s="34"/>
      <c r="K169" s="34">
        <v>14000000</v>
      </c>
      <c r="L169" s="8">
        <f t="shared" si="83"/>
        <v>14000000</v>
      </c>
      <c r="M169" s="8">
        <v>8400000</v>
      </c>
      <c r="N169" s="90">
        <f t="shared" si="84"/>
        <v>5600000</v>
      </c>
      <c r="O169" s="8"/>
      <c r="P169" s="61">
        <v>0</v>
      </c>
      <c r="Q169" s="8">
        <v>0</v>
      </c>
      <c r="R169" s="4">
        <v>2800000</v>
      </c>
      <c r="S169" s="90">
        <f t="shared" si="92"/>
        <v>2800000</v>
      </c>
      <c r="T169" s="93">
        <f t="shared" si="87"/>
        <v>2800000</v>
      </c>
      <c r="U169" s="93">
        <f t="shared" si="88"/>
        <v>2800000</v>
      </c>
      <c r="V169" s="34"/>
      <c r="W169" s="34">
        <v>465558</v>
      </c>
      <c r="X169" s="4">
        <v>910000</v>
      </c>
      <c r="Y169" s="4">
        <v>820748</v>
      </c>
      <c r="Z169" s="4">
        <f t="shared" si="93"/>
        <v>2800000</v>
      </c>
      <c r="AA169" s="93">
        <f t="shared" si="90"/>
        <v>546000</v>
      </c>
      <c r="AB169" s="90">
        <f t="shared" si="91"/>
        <v>364000</v>
      </c>
      <c r="AC169" s="4">
        <f t="shared" si="85"/>
        <v>182000</v>
      </c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</row>
    <row r="170" spans="1:61" s="37" customFormat="1" ht="27.6" customHeight="1" x14ac:dyDescent="0.2">
      <c r="A170" s="80">
        <v>160</v>
      </c>
      <c r="B170" s="58" t="s">
        <v>272</v>
      </c>
      <c r="C170" s="9" t="s">
        <v>213</v>
      </c>
      <c r="D170" s="71">
        <v>9100000</v>
      </c>
      <c r="E170" s="9">
        <v>7</v>
      </c>
      <c r="F170" s="9">
        <v>2</v>
      </c>
      <c r="G170" s="62" t="s">
        <v>178</v>
      </c>
      <c r="H170" s="54">
        <v>6.5</v>
      </c>
      <c r="I170" s="34"/>
      <c r="J170" s="34"/>
      <c r="K170" s="34">
        <v>9100000</v>
      </c>
      <c r="L170" s="8">
        <f t="shared" ref="L170:L199" si="94">K170-Q170</f>
        <v>9100000</v>
      </c>
      <c r="M170" s="8">
        <v>5460000</v>
      </c>
      <c r="N170" s="90">
        <f t="shared" ref="N170:N201" si="95">M170-U170</f>
        <v>3640000</v>
      </c>
      <c r="O170" s="8"/>
      <c r="P170" s="61">
        <v>0</v>
      </c>
      <c r="Q170" s="8">
        <v>0</v>
      </c>
      <c r="R170" s="4">
        <v>1820000</v>
      </c>
      <c r="S170" s="90">
        <f t="shared" si="92"/>
        <v>1820000</v>
      </c>
      <c r="T170" s="93">
        <f t="shared" si="87"/>
        <v>1820000</v>
      </c>
      <c r="U170" s="93">
        <f t="shared" si="88"/>
        <v>1820000</v>
      </c>
      <c r="V170" s="34"/>
      <c r="W170" s="34">
        <v>302613</v>
      </c>
      <c r="X170" s="4">
        <v>591500</v>
      </c>
      <c r="Y170" s="4">
        <v>533486</v>
      </c>
      <c r="Z170" s="4">
        <f t="shared" si="93"/>
        <v>1820000</v>
      </c>
      <c r="AA170" s="93">
        <f t="shared" si="90"/>
        <v>354900</v>
      </c>
      <c r="AB170" s="90">
        <f t="shared" si="91"/>
        <v>236600</v>
      </c>
      <c r="AC170" s="4">
        <f t="shared" si="85"/>
        <v>118300</v>
      </c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</row>
    <row r="171" spans="1:61" s="37" customFormat="1" ht="27.6" customHeight="1" x14ac:dyDescent="0.2">
      <c r="A171" s="9">
        <v>161</v>
      </c>
      <c r="B171" s="58" t="s">
        <v>272</v>
      </c>
      <c r="C171" s="9" t="s">
        <v>213</v>
      </c>
      <c r="D171" s="71">
        <v>11455000</v>
      </c>
      <c r="E171" s="9">
        <v>7</v>
      </c>
      <c r="F171" s="9">
        <v>2</v>
      </c>
      <c r="G171" s="62" t="s">
        <v>178</v>
      </c>
      <c r="H171" s="54">
        <v>6.5</v>
      </c>
      <c r="I171" s="34"/>
      <c r="J171" s="34"/>
      <c r="K171" s="34">
        <v>11455000</v>
      </c>
      <c r="L171" s="8">
        <f t="shared" si="94"/>
        <v>11455000</v>
      </c>
      <c r="M171" s="8">
        <v>6873000</v>
      </c>
      <c r="N171" s="90">
        <f t="shared" si="95"/>
        <v>4582000</v>
      </c>
      <c r="O171" s="8"/>
      <c r="P171" s="61">
        <v>0</v>
      </c>
      <c r="Q171" s="8">
        <v>0</v>
      </c>
      <c r="R171" s="4">
        <v>2291000</v>
      </c>
      <c r="S171" s="90">
        <f t="shared" si="92"/>
        <v>2291000</v>
      </c>
      <c r="T171" s="93">
        <f t="shared" si="87"/>
        <v>2291000</v>
      </c>
      <c r="U171" s="93">
        <f t="shared" si="88"/>
        <v>2291000</v>
      </c>
      <c r="V171" s="34"/>
      <c r="W171" s="34">
        <v>380927</v>
      </c>
      <c r="X171" s="4">
        <v>744575</v>
      </c>
      <c r="Y171" s="4">
        <v>671548</v>
      </c>
      <c r="Z171" s="4">
        <f t="shared" si="93"/>
        <v>2291000</v>
      </c>
      <c r="AA171" s="93">
        <f t="shared" si="90"/>
        <v>446745</v>
      </c>
      <c r="AB171" s="90">
        <f t="shared" si="91"/>
        <v>297830</v>
      </c>
      <c r="AC171" s="4">
        <f t="shared" si="85"/>
        <v>148915</v>
      </c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</row>
    <row r="172" spans="1:61" s="37" customFormat="1" ht="27.6" customHeight="1" x14ac:dyDescent="0.2">
      <c r="A172" s="80">
        <v>162</v>
      </c>
      <c r="B172" s="78" t="s">
        <v>234</v>
      </c>
      <c r="C172" s="9" t="s">
        <v>213</v>
      </c>
      <c r="D172" s="71">
        <v>36824000</v>
      </c>
      <c r="E172" s="9">
        <v>7</v>
      </c>
      <c r="F172" s="9">
        <v>2</v>
      </c>
      <c r="G172" s="62" t="s">
        <v>178</v>
      </c>
      <c r="H172" s="54">
        <v>6.5</v>
      </c>
      <c r="I172" s="34"/>
      <c r="J172" s="34"/>
      <c r="K172" s="34">
        <v>36824000</v>
      </c>
      <c r="L172" s="8">
        <f t="shared" si="94"/>
        <v>36824000</v>
      </c>
      <c r="M172" s="8">
        <v>22094400</v>
      </c>
      <c r="N172" s="90">
        <f t="shared" si="95"/>
        <v>14729600</v>
      </c>
      <c r="O172" s="8"/>
      <c r="P172" s="61">
        <v>0</v>
      </c>
      <c r="Q172" s="8">
        <v>0</v>
      </c>
      <c r="R172" s="4">
        <v>7364800</v>
      </c>
      <c r="S172" s="90">
        <f t="shared" si="92"/>
        <v>7364800</v>
      </c>
      <c r="T172" s="93">
        <f t="shared" si="87"/>
        <v>7364800</v>
      </c>
      <c r="U172" s="93">
        <f t="shared" si="88"/>
        <v>7364800</v>
      </c>
      <c r="V172" s="34"/>
      <c r="W172" s="34">
        <v>511500</v>
      </c>
      <c r="X172" s="4">
        <v>2393560</v>
      </c>
      <c r="Y172" s="4">
        <v>2320010</v>
      </c>
      <c r="Z172" s="4">
        <f t="shared" si="93"/>
        <v>7364800</v>
      </c>
      <c r="AA172" s="93">
        <f t="shared" si="90"/>
        <v>1436136</v>
      </c>
      <c r="AB172" s="90">
        <f t="shared" si="91"/>
        <v>957424</v>
      </c>
      <c r="AC172" s="4">
        <f t="shared" si="85"/>
        <v>478712</v>
      </c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</row>
    <row r="173" spans="1:61" s="37" customFormat="1" ht="27.6" customHeight="1" x14ac:dyDescent="0.2">
      <c r="A173" s="9">
        <v>163</v>
      </c>
      <c r="B173" s="58" t="s">
        <v>256</v>
      </c>
      <c r="C173" s="9" t="s">
        <v>213</v>
      </c>
      <c r="D173" s="71">
        <v>41783000</v>
      </c>
      <c r="E173" s="9">
        <v>7</v>
      </c>
      <c r="F173" s="9">
        <v>2</v>
      </c>
      <c r="G173" s="62" t="s">
        <v>178</v>
      </c>
      <c r="H173" s="54">
        <v>6.5</v>
      </c>
      <c r="I173" s="34"/>
      <c r="J173" s="34"/>
      <c r="K173" s="34">
        <v>41783000</v>
      </c>
      <c r="L173" s="8">
        <f t="shared" si="94"/>
        <v>41783000</v>
      </c>
      <c r="M173" s="8">
        <v>25069000</v>
      </c>
      <c r="N173" s="90">
        <v>16713000</v>
      </c>
      <c r="O173" s="8"/>
      <c r="P173" s="61">
        <v>0</v>
      </c>
      <c r="Q173" s="8">
        <v>0</v>
      </c>
      <c r="R173" s="4">
        <v>8357000</v>
      </c>
      <c r="S173" s="90">
        <f t="shared" si="92"/>
        <v>8356000</v>
      </c>
      <c r="T173" s="93">
        <f t="shared" si="87"/>
        <v>8357000</v>
      </c>
      <c r="U173" s="93">
        <f t="shared" si="88"/>
        <v>8357000</v>
      </c>
      <c r="V173" s="34"/>
      <c r="W173" s="34">
        <v>528297</v>
      </c>
      <c r="X173" s="4">
        <v>2715895</v>
      </c>
      <c r="Y173" s="4">
        <v>2632436</v>
      </c>
      <c r="Z173" s="4">
        <v>8355000</v>
      </c>
      <c r="AA173" s="93">
        <f t="shared" si="90"/>
        <v>1629485</v>
      </c>
      <c r="AB173" s="90">
        <f t="shared" si="91"/>
        <v>1086345</v>
      </c>
      <c r="AC173" s="4">
        <f t="shared" si="85"/>
        <v>543140</v>
      </c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</row>
    <row r="174" spans="1:61" s="37" customFormat="1" ht="27.6" customHeight="1" x14ac:dyDescent="0.2">
      <c r="A174" s="80">
        <v>164</v>
      </c>
      <c r="B174" s="58" t="s">
        <v>244</v>
      </c>
      <c r="C174" s="9" t="s">
        <v>213</v>
      </c>
      <c r="D174" s="71">
        <v>44990000</v>
      </c>
      <c r="E174" s="9">
        <v>7</v>
      </c>
      <c r="F174" s="9">
        <v>2</v>
      </c>
      <c r="G174" s="62" t="s">
        <v>178</v>
      </c>
      <c r="H174" s="54">
        <v>6.5</v>
      </c>
      <c r="I174" s="34"/>
      <c r="J174" s="34"/>
      <c r="K174" s="34">
        <v>44990000</v>
      </c>
      <c r="L174" s="8">
        <f t="shared" si="94"/>
        <v>44990000</v>
      </c>
      <c r="M174" s="8">
        <v>26994000</v>
      </c>
      <c r="N174" s="90">
        <f t="shared" si="95"/>
        <v>17996000</v>
      </c>
      <c r="O174" s="8"/>
      <c r="P174" s="61">
        <v>0</v>
      </c>
      <c r="Q174" s="8">
        <v>0</v>
      </c>
      <c r="R174" s="4">
        <v>8998000</v>
      </c>
      <c r="S174" s="90">
        <f t="shared" si="92"/>
        <v>8998000</v>
      </c>
      <c r="T174" s="93">
        <f t="shared" si="87"/>
        <v>8998000</v>
      </c>
      <c r="U174" s="93">
        <f t="shared" si="88"/>
        <v>8998000</v>
      </c>
      <c r="V174" s="34"/>
      <c r="W174" s="34">
        <v>552822</v>
      </c>
      <c r="X174" s="4">
        <v>2924350</v>
      </c>
      <c r="Y174" s="4">
        <v>2834490</v>
      </c>
      <c r="Z174" s="4">
        <f t="shared" si="93"/>
        <v>8998000</v>
      </c>
      <c r="AA174" s="93">
        <f t="shared" si="90"/>
        <v>1754610</v>
      </c>
      <c r="AB174" s="90">
        <f t="shared" si="91"/>
        <v>1169740</v>
      </c>
      <c r="AC174" s="4">
        <f t="shared" si="85"/>
        <v>584870</v>
      </c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</row>
    <row r="175" spans="1:61" s="37" customFormat="1" ht="27.6" customHeight="1" x14ac:dyDescent="0.2">
      <c r="A175" s="9">
        <v>165</v>
      </c>
      <c r="B175" s="58" t="s">
        <v>273</v>
      </c>
      <c r="C175" s="9" t="s">
        <v>213</v>
      </c>
      <c r="D175" s="71">
        <v>8141000</v>
      </c>
      <c r="E175" s="9">
        <v>7</v>
      </c>
      <c r="F175" s="9">
        <v>2</v>
      </c>
      <c r="G175" s="62" t="s">
        <v>178</v>
      </c>
      <c r="H175" s="54">
        <v>6.5</v>
      </c>
      <c r="I175" s="34"/>
      <c r="J175" s="34"/>
      <c r="K175" s="34">
        <v>8141000</v>
      </c>
      <c r="L175" s="8">
        <f t="shared" si="94"/>
        <v>8141000</v>
      </c>
      <c r="M175" s="8">
        <v>4884600</v>
      </c>
      <c r="N175" s="90">
        <f t="shared" si="95"/>
        <v>3256400</v>
      </c>
      <c r="O175" s="8"/>
      <c r="P175" s="61">
        <v>0</v>
      </c>
      <c r="Q175" s="8">
        <v>0</v>
      </c>
      <c r="R175" s="4">
        <v>1628200</v>
      </c>
      <c r="S175" s="90">
        <f t="shared" si="92"/>
        <v>1628200</v>
      </c>
      <c r="T175" s="93">
        <f t="shared" si="87"/>
        <v>1628200</v>
      </c>
      <c r="U175" s="93">
        <f t="shared" si="88"/>
        <v>1628200</v>
      </c>
      <c r="V175" s="34"/>
      <c r="W175" s="34">
        <v>89886</v>
      </c>
      <c r="X175" s="4">
        <v>529165</v>
      </c>
      <c r="Y175" s="4">
        <v>512905</v>
      </c>
      <c r="Z175" s="4">
        <f t="shared" si="93"/>
        <v>1628200</v>
      </c>
      <c r="AA175" s="93">
        <f t="shared" si="90"/>
        <v>317499</v>
      </c>
      <c r="AB175" s="90">
        <f t="shared" si="91"/>
        <v>211666</v>
      </c>
      <c r="AC175" s="4">
        <f t="shared" si="85"/>
        <v>105833</v>
      </c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</row>
    <row r="176" spans="1:61" s="37" customFormat="1" ht="27.6" customHeight="1" x14ac:dyDescent="0.2">
      <c r="A176" s="80">
        <v>166</v>
      </c>
      <c r="B176" s="58" t="s">
        <v>273</v>
      </c>
      <c r="C176" s="9" t="s">
        <v>213</v>
      </c>
      <c r="D176" s="71">
        <v>62805000</v>
      </c>
      <c r="E176" s="9">
        <v>7</v>
      </c>
      <c r="F176" s="9">
        <v>2</v>
      </c>
      <c r="G176" s="62" t="s">
        <v>178</v>
      </c>
      <c r="H176" s="54">
        <v>6.5</v>
      </c>
      <c r="I176" s="34"/>
      <c r="J176" s="34"/>
      <c r="K176" s="34">
        <v>62805000</v>
      </c>
      <c r="L176" s="8">
        <f t="shared" si="94"/>
        <v>62805000</v>
      </c>
      <c r="M176" s="8">
        <v>37683000</v>
      </c>
      <c r="N176" s="90">
        <f t="shared" si="95"/>
        <v>25122000</v>
      </c>
      <c r="O176" s="8"/>
      <c r="P176" s="61">
        <v>0</v>
      </c>
      <c r="Q176" s="8">
        <v>0</v>
      </c>
      <c r="R176" s="4">
        <v>12561000</v>
      </c>
      <c r="S176" s="90">
        <f t="shared" si="92"/>
        <v>12561000</v>
      </c>
      <c r="T176" s="93">
        <f t="shared" si="87"/>
        <v>12561000</v>
      </c>
      <c r="U176" s="93">
        <f t="shared" si="88"/>
        <v>12561000</v>
      </c>
      <c r="V176" s="34"/>
      <c r="W176" s="34">
        <v>693436</v>
      </c>
      <c r="X176" s="4">
        <v>4082325</v>
      </c>
      <c r="Y176" s="4">
        <v>3956882</v>
      </c>
      <c r="Z176" s="4">
        <f t="shared" si="93"/>
        <v>12561000</v>
      </c>
      <c r="AA176" s="93">
        <f t="shared" si="90"/>
        <v>2449395</v>
      </c>
      <c r="AB176" s="90">
        <f t="shared" si="91"/>
        <v>1632930</v>
      </c>
      <c r="AC176" s="4">
        <f t="shared" si="85"/>
        <v>816465</v>
      </c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</row>
    <row r="177" spans="1:61" s="37" customFormat="1" ht="27.6" customHeight="1" x14ac:dyDescent="0.2">
      <c r="A177" s="9">
        <v>167</v>
      </c>
      <c r="B177" s="58" t="s">
        <v>273</v>
      </c>
      <c r="C177" s="9" t="s">
        <v>213</v>
      </c>
      <c r="D177" s="71">
        <v>7569000</v>
      </c>
      <c r="E177" s="9">
        <v>7</v>
      </c>
      <c r="F177" s="9">
        <v>2</v>
      </c>
      <c r="G177" s="62" t="s">
        <v>178</v>
      </c>
      <c r="H177" s="54">
        <v>6.5</v>
      </c>
      <c r="I177" s="34"/>
      <c r="J177" s="34"/>
      <c r="K177" s="34">
        <v>7569000</v>
      </c>
      <c r="L177" s="8">
        <f t="shared" si="94"/>
        <v>7569000</v>
      </c>
      <c r="M177" s="8">
        <v>4541400</v>
      </c>
      <c r="N177" s="90">
        <f t="shared" si="95"/>
        <v>3027600</v>
      </c>
      <c r="O177" s="8"/>
      <c r="P177" s="61">
        <v>0</v>
      </c>
      <c r="Q177" s="8">
        <v>0</v>
      </c>
      <c r="R177" s="4">
        <v>1513800</v>
      </c>
      <c r="S177" s="90">
        <f t="shared" si="92"/>
        <v>1513800</v>
      </c>
      <c r="T177" s="93">
        <f t="shared" si="87"/>
        <v>1513800</v>
      </c>
      <c r="U177" s="93">
        <f t="shared" si="88"/>
        <v>1513800</v>
      </c>
      <c r="V177" s="34"/>
      <c r="W177" s="34">
        <v>83570</v>
      </c>
      <c r="X177" s="4">
        <v>491985</v>
      </c>
      <c r="Y177" s="4">
        <v>476867</v>
      </c>
      <c r="Z177" s="4">
        <f t="shared" si="93"/>
        <v>1513800</v>
      </c>
      <c r="AA177" s="93">
        <f t="shared" si="90"/>
        <v>295191</v>
      </c>
      <c r="AB177" s="90">
        <f t="shared" si="91"/>
        <v>196794</v>
      </c>
      <c r="AC177" s="4">
        <f t="shared" si="85"/>
        <v>98397</v>
      </c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</row>
    <row r="178" spans="1:61" s="37" customFormat="1" ht="27.6" customHeight="1" x14ac:dyDescent="0.2">
      <c r="A178" s="80">
        <v>168</v>
      </c>
      <c r="B178" s="58" t="s">
        <v>273</v>
      </c>
      <c r="C178" s="9" t="s">
        <v>213</v>
      </c>
      <c r="D178" s="71">
        <v>13542000</v>
      </c>
      <c r="E178" s="9">
        <v>7</v>
      </c>
      <c r="F178" s="9">
        <v>2</v>
      </c>
      <c r="G178" s="62" t="s">
        <v>178</v>
      </c>
      <c r="H178" s="54">
        <v>6.5</v>
      </c>
      <c r="I178" s="34"/>
      <c r="J178" s="34"/>
      <c r="K178" s="34">
        <v>13542000</v>
      </c>
      <c r="L178" s="8">
        <f t="shared" si="94"/>
        <v>13542000</v>
      </c>
      <c r="M178" s="8">
        <v>8125200</v>
      </c>
      <c r="N178" s="90">
        <f t="shared" si="95"/>
        <v>5416800</v>
      </c>
      <c r="O178" s="8"/>
      <c r="P178" s="61">
        <v>0</v>
      </c>
      <c r="Q178" s="8">
        <v>0</v>
      </c>
      <c r="R178" s="4">
        <v>2708400</v>
      </c>
      <c r="S178" s="90">
        <f t="shared" si="92"/>
        <v>2708400</v>
      </c>
      <c r="T178" s="93">
        <f t="shared" si="87"/>
        <v>2708400</v>
      </c>
      <c r="U178" s="93">
        <f t="shared" si="88"/>
        <v>2708400</v>
      </c>
      <c r="V178" s="34"/>
      <c r="W178" s="34">
        <v>149519</v>
      </c>
      <c r="X178" s="4">
        <v>880230</v>
      </c>
      <c r="Y178" s="4">
        <v>853182</v>
      </c>
      <c r="Z178" s="4">
        <f t="shared" si="93"/>
        <v>2708400</v>
      </c>
      <c r="AA178" s="93">
        <f t="shared" si="90"/>
        <v>528138</v>
      </c>
      <c r="AB178" s="90">
        <f t="shared" si="91"/>
        <v>352092</v>
      </c>
      <c r="AC178" s="4">
        <f t="shared" si="85"/>
        <v>176046</v>
      </c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</row>
    <row r="179" spans="1:61" s="37" customFormat="1" ht="27.6" customHeight="1" x14ac:dyDescent="0.2">
      <c r="A179" s="9">
        <v>169</v>
      </c>
      <c r="B179" s="58" t="s">
        <v>273</v>
      </c>
      <c r="C179" s="9" t="s">
        <v>213</v>
      </c>
      <c r="D179" s="71">
        <v>40249000</v>
      </c>
      <c r="E179" s="9">
        <v>7</v>
      </c>
      <c r="F179" s="9">
        <v>2</v>
      </c>
      <c r="G179" s="62" t="s">
        <v>178</v>
      </c>
      <c r="H179" s="54">
        <v>6.5</v>
      </c>
      <c r="I179" s="34"/>
      <c r="J179" s="34"/>
      <c r="K179" s="34">
        <v>40249000</v>
      </c>
      <c r="L179" s="8">
        <f t="shared" si="94"/>
        <v>40249000</v>
      </c>
      <c r="M179" s="8">
        <v>24149400</v>
      </c>
      <c r="N179" s="90">
        <f t="shared" si="95"/>
        <v>16099600</v>
      </c>
      <c r="O179" s="8"/>
      <c r="P179" s="61">
        <v>0</v>
      </c>
      <c r="Q179" s="8">
        <v>0</v>
      </c>
      <c r="R179" s="4">
        <v>8049800</v>
      </c>
      <c r="S179" s="90">
        <f t="shared" si="92"/>
        <v>8049800</v>
      </c>
      <c r="T179" s="93">
        <f t="shared" si="87"/>
        <v>8049800</v>
      </c>
      <c r="U179" s="93">
        <f t="shared" si="88"/>
        <v>8049800</v>
      </c>
      <c r="V179" s="34"/>
      <c r="W179" s="34">
        <v>444393</v>
      </c>
      <c r="X179" s="4">
        <v>2616185</v>
      </c>
      <c r="Y179" s="4">
        <v>2535794</v>
      </c>
      <c r="Z179" s="4">
        <f t="shared" si="93"/>
        <v>8049800</v>
      </c>
      <c r="AA179" s="93">
        <f t="shared" si="90"/>
        <v>1569711</v>
      </c>
      <c r="AB179" s="90">
        <f t="shared" si="91"/>
        <v>1046474</v>
      </c>
      <c r="AC179" s="4">
        <f t="shared" si="85"/>
        <v>523237</v>
      </c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</row>
    <row r="180" spans="1:61" s="37" customFormat="1" ht="27.6" customHeight="1" x14ac:dyDescent="0.2">
      <c r="A180" s="80">
        <v>170</v>
      </c>
      <c r="B180" s="58" t="s">
        <v>273</v>
      </c>
      <c r="C180" s="9" t="s">
        <v>213</v>
      </c>
      <c r="D180" s="71">
        <v>7197000</v>
      </c>
      <c r="E180" s="9">
        <v>7</v>
      </c>
      <c r="F180" s="9">
        <v>2</v>
      </c>
      <c r="G180" s="62" t="s">
        <v>178</v>
      </c>
      <c r="H180" s="54">
        <v>6.5</v>
      </c>
      <c r="I180" s="34"/>
      <c r="J180" s="34"/>
      <c r="K180" s="34">
        <v>7197000</v>
      </c>
      <c r="L180" s="8">
        <f t="shared" si="94"/>
        <v>7197000</v>
      </c>
      <c r="M180" s="8">
        <v>4318200</v>
      </c>
      <c r="N180" s="90">
        <f t="shared" si="95"/>
        <v>2878800</v>
      </c>
      <c r="O180" s="8"/>
      <c r="P180" s="61">
        <v>0</v>
      </c>
      <c r="Q180" s="8">
        <v>0</v>
      </c>
      <c r="R180" s="4">
        <v>1439400</v>
      </c>
      <c r="S180" s="90">
        <f t="shared" si="92"/>
        <v>1439400</v>
      </c>
      <c r="T180" s="93">
        <f t="shared" si="87"/>
        <v>1439400</v>
      </c>
      <c r="U180" s="93">
        <f t="shared" si="88"/>
        <v>1439400</v>
      </c>
      <c r="V180" s="34"/>
      <c r="W180" s="34">
        <v>79763</v>
      </c>
      <c r="X180" s="4">
        <v>467805</v>
      </c>
      <c r="Y180" s="4">
        <v>453430</v>
      </c>
      <c r="Z180" s="4">
        <f t="shared" si="93"/>
        <v>1439400</v>
      </c>
      <c r="AA180" s="93">
        <f t="shared" si="90"/>
        <v>280683</v>
      </c>
      <c r="AB180" s="90">
        <f t="shared" si="91"/>
        <v>187122</v>
      </c>
      <c r="AC180" s="4">
        <f t="shared" si="85"/>
        <v>93561</v>
      </c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</row>
    <row r="181" spans="1:61" s="37" customFormat="1" ht="27.6" customHeight="1" x14ac:dyDescent="0.2">
      <c r="A181" s="9">
        <v>171</v>
      </c>
      <c r="B181" s="58" t="s">
        <v>273</v>
      </c>
      <c r="C181" s="9" t="s">
        <v>213</v>
      </c>
      <c r="D181" s="71">
        <v>1004000</v>
      </c>
      <c r="E181" s="9">
        <v>7</v>
      </c>
      <c r="F181" s="9">
        <v>2</v>
      </c>
      <c r="G181" s="62" t="s">
        <v>178</v>
      </c>
      <c r="H181" s="54">
        <v>6.5</v>
      </c>
      <c r="I181" s="34"/>
      <c r="J181" s="34"/>
      <c r="K181" s="34">
        <v>1004000</v>
      </c>
      <c r="L181" s="8">
        <f t="shared" si="94"/>
        <v>1004000</v>
      </c>
      <c r="M181" s="8">
        <v>602400</v>
      </c>
      <c r="N181" s="90">
        <f t="shared" si="95"/>
        <v>401600</v>
      </c>
      <c r="O181" s="8"/>
      <c r="P181" s="61">
        <v>0</v>
      </c>
      <c r="Q181" s="8">
        <v>0</v>
      </c>
      <c r="R181" s="4">
        <v>200800</v>
      </c>
      <c r="S181" s="90">
        <f t="shared" si="92"/>
        <v>200800</v>
      </c>
      <c r="T181" s="93">
        <f t="shared" si="87"/>
        <v>200800</v>
      </c>
      <c r="U181" s="93">
        <f t="shared" si="88"/>
        <v>200800</v>
      </c>
      <c r="V181" s="34"/>
      <c r="W181" s="34">
        <v>11085</v>
      </c>
      <c r="X181" s="4">
        <v>65260</v>
      </c>
      <c r="Y181" s="4">
        <v>63255</v>
      </c>
      <c r="Z181" s="4">
        <f t="shared" si="93"/>
        <v>200800</v>
      </c>
      <c r="AA181" s="93">
        <f t="shared" si="90"/>
        <v>39156</v>
      </c>
      <c r="AB181" s="90">
        <f t="shared" si="91"/>
        <v>26104</v>
      </c>
      <c r="AC181" s="4">
        <f t="shared" si="85"/>
        <v>13052</v>
      </c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</row>
    <row r="182" spans="1:61" s="37" customFormat="1" ht="27.6" customHeight="1" x14ac:dyDescent="0.2">
      <c r="A182" s="80">
        <v>172</v>
      </c>
      <c r="B182" s="58" t="s">
        <v>273</v>
      </c>
      <c r="C182" s="9" t="s">
        <v>213</v>
      </c>
      <c r="D182" s="71">
        <v>3727000</v>
      </c>
      <c r="E182" s="9">
        <v>7</v>
      </c>
      <c r="F182" s="9">
        <v>2</v>
      </c>
      <c r="G182" s="62" t="s">
        <v>178</v>
      </c>
      <c r="H182" s="54">
        <v>6.5</v>
      </c>
      <c r="I182" s="34"/>
      <c r="J182" s="34"/>
      <c r="K182" s="34">
        <v>3727000</v>
      </c>
      <c r="L182" s="8">
        <f t="shared" si="94"/>
        <v>3727000</v>
      </c>
      <c r="M182" s="8">
        <v>2236200</v>
      </c>
      <c r="N182" s="90">
        <f t="shared" si="95"/>
        <v>1490800</v>
      </c>
      <c r="O182" s="8"/>
      <c r="P182" s="61">
        <v>0</v>
      </c>
      <c r="Q182" s="8">
        <v>0</v>
      </c>
      <c r="R182" s="4">
        <v>745400</v>
      </c>
      <c r="S182" s="90">
        <f t="shared" si="92"/>
        <v>745400</v>
      </c>
      <c r="T182" s="93">
        <f t="shared" si="87"/>
        <v>745400</v>
      </c>
      <c r="U182" s="93">
        <f t="shared" si="88"/>
        <v>745400</v>
      </c>
      <c r="V182" s="34"/>
      <c r="W182" s="34">
        <v>41150</v>
      </c>
      <c r="X182" s="4">
        <v>242255</v>
      </c>
      <c r="Y182" s="4">
        <v>234811</v>
      </c>
      <c r="Z182" s="4">
        <f t="shared" si="93"/>
        <v>745400</v>
      </c>
      <c r="AA182" s="93">
        <f t="shared" si="90"/>
        <v>145353</v>
      </c>
      <c r="AB182" s="90">
        <f t="shared" si="91"/>
        <v>96902</v>
      </c>
      <c r="AC182" s="4">
        <f t="shared" si="85"/>
        <v>48451</v>
      </c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</row>
    <row r="183" spans="1:61" s="37" customFormat="1" ht="27.6" customHeight="1" x14ac:dyDescent="0.2">
      <c r="A183" s="9">
        <v>173</v>
      </c>
      <c r="B183" s="58" t="s">
        <v>274</v>
      </c>
      <c r="C183" s="9" t="s">
        <v>213</v>
      </c>
      <c r="D183" s="71">
        <v>6035000</v>
      </c>
      <c r="E183" s="9">
        <v>7</v>
      </c>
      <c r="F183" s="9">
        <v>2</v>
      </c>
      <c r="G183" s="62" t="s">
        <v>178</v>
      </c>
      <c r="H183" s="54">
        <v>6.5</v>
      </c>
      <c r="I183" s="34"/>
      <c r="J183" s="34"/>
      <c r="K183" s="34">
        <v>6035000</v>
      </c>
      <c r="L183" s="8">
        <f t="shared" si="94"/>
        <v>6035000</v>
      </c>
      <c r="M183" s="8">
        <v>3621000</v>
      </c>
      <c r="N183" s="90">
        <f t="shared" si="95"/>
        <v>2414000</v>
      </c>
      <c r="O183" s="8"/>
      <c r="P183" s="61">
        <v>0</v>
      </c>
      <c r="Q183" s="8">
        <v>0</v>
      </c>
      <c r="R183" s="4">
        <v>1207000</v>
      </c>
      <c r="S183" s="90">
        <f t="shared" si="92"/>
        <v>1207000</v>
      </c>
      <c r="T183" s="93">
        <f t="shared" si="87"/>
        <v>1207000</v>
      </c>
      <c r="U183" s="93">
        <f t="shared" si="88"/>
        <v>1207000</v>
      </c>
      <c r="V183" s="34"/>
      <c r="W183" s="34">
        <v>59110</v>
      </c>
      <c r="X183" s="4">
        <v>392275</v>
      </c>
      <c r="Y183" s="4">
        <v>386437</v>
      </c>
      <c r="Z183" s="4">
        <f t="shared" si="93"/>
        <v>1207000</v>
      </c>
      <c r="AA183" s="93">
        <f t="shared" si="90"/>
        <v>235365</v>
      </c>
      <c r="AB183" s="90">
        <f t="shared" si="91"/>
        <v>156910</v>
      </c>
      <c r="AC183" s="4">
        <f t="shared" si="85"/>
        <v>78455</v>
      </c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</row>
    <row r="184" spans="1:61" s="37" customFormat="1" ht="27.6" customHeight="1" x14ac:dyDescent="0.2">
      <c r="A184" s="80">
        <v>174</v>
      </c>
      <c r="B184" s="58" t="s">
        <v>274</v>
      </c>
      <c r="C184" s="9" t="s">
        <v>213</v>
      </c>
      <c r="D184" s="71">
        <v>4550000</v>
      </c>
      <c r="E184" s="9">
        <v>7</v>
      </c>
      <c r="F184" s="9">
        <v>2</v>
      </c>
      <c r="G184" s="62" t="s">
        <v>178</v>
      </c>
      <c r="H184" s="54">
        <v>6.5</v>
      </c>
      <c r="I184" s="34"/>
      <c r="J184" s="34"/>
      <c r="K184" s="34">
        <v>4550000</v>
      </c>
      <c r="L184" s="8">
        <f t="shared" si="94"/>
        <v>4550000</v>
      </c>
      <c r="M184" s="8">
        <v>2730000</v>
      </c>
      <c r="N184" s="90">
        <f t="shared" si="95"/>
        <v>1820000</v>
      </c>
      <c r="O184" s="8"/>
      <c r="P184" s="61">
        <v>0</v>
      </c>
      <c r="Q184" s="8">
        <v>0</v>
      </c>
      <c r="R184" s="4">
        <v>910000</v>
      </c>
      <c r="S184" s="90">
        <f t="shared" si="92"/>
        <v>910000</v>
      </c>
      <c r="T184" s="93">
        <f t="shared" si="87"/>
        <v>910000</v>
      </c>
      <c r="U184" s="93">
        <f t="shared" si="88"/>
        <v>910000</v>
      </c>
      <c r="V184" s="34"/>
      <c r="W184" s="34">
        <v>44565</v>
      </c>
      <c r="X184" s="4">
        <v>295750</v>
      </c>
      <c r="Y184" s="4">
        <v>291349</v>
      </c>
      <c r="Z184" s="4">
        <f t="shared" si="93"/>
        <v>910000</v>
      </c>
      <c r="AA184" s="93">
        <f t="shared" si="90"/>
        <v>177450</v>
      </c>
      <c r="AB184" s="90">
        <f t="shared" si="91"/>
        <v>118300</v>
      </c>
      <c r="AC184" s="4">
        <f t="shared" si="85"/>
        <v>59150</v>
      </c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</row>
    <row r="185" spans="1:61" s="37" customFormat="1" ht="27.6" customHeight="1" x14ac:dyDescent="0.2">
      <c r="A185" s="9">
        <v>175</v>
      </c>
      <c r="B185" s="58" t="s">
        <v>274</v>
      </c>
      <c r="C185" s="9" t="s">
        <v>213</v>
      </c>
      <c r="D185" s="71">
        <v>4065000</v>
      </c>
      <c r="E185" s="9">
        <v>7</v>
      </c>
      <c r="F185" s="9">
        <v>2</v>
      </c>
      <c r="G185" s="62" t="s">
        <v>178</v>
      </c>
      <c r="H185" s="54">
        <v>6.5</v>
      </c>
      <c r="I185" s="34"/>
      <c r="J185" s="34"/>
      <c r="K185" s="34">
        <v>4065000</v>
      </c>
      <c r="L185" s="8">
        <f t="shared" si="94"/>
        <v>4065000</v>
      </c>
      <c r="M185" s="8">
        <v>2439000</v>
      </c>
      <c r="N185" s="90">
        <f t="shared" si="95"/>
        <v>1626000</v>
      </c>
      <c r="O185" s="8"/>
      <c r="P185" s="61">
        <v>0</v>
      </c>
      <c r="Q185" s="8">
        <v>0</v>
      </c>
      <c r="R185" s="4">
        <v>813000</v>
      </c>
      <c r="S185" s="90">
        <f t="shared" si="92"/>
        <v>813000</v>
      </c>
      <c r="T185" s="93">
        <f t="shared" si="87"/>
        <v>813000</v>
      </c>
      <c r="U185" s="93">
        <f t="shared" si="88"/>
        <v>813000</v>
      </c>
      <c r="V185" s="34"/>
      <c r="W185" s="34">
        <v>39815</v>
      </c>
      <c r="X185" s="4">
        <v>264225</v>
      </c>
      <c r="Y185" s="4">
        <v>260293</v>
      </c>
      <c r="Z185" s="4">
        <f t="shared" si="93"/>
        <v>813000</v>
      </c>
      <c r="AA185" s="93">
        <f t="shared" si="90"/>
        <v>158535</v>
      </c>
      <c r="AB185" s="90">
        <f t="shared" si="91"/>
        <v>105690</v>
      </c>
      <c r="AC185" s="4">
        <f t="shared" si="85"/>
        <v>52845</v>
      </c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</row>
    <row r="186" spans="1:61" s="37" customFormat="1" ht="27.6" customHeight="1" x14ac:dyDescent="0.2">
      <c r="A186" s="80">
        <v>176</v>
      </c>
      <c r="B186" s="58" t="s">
        <v>224</v>
      </c>
      <c r="C186" s="9" t="s">
        <v>213</v>
      </c>
      <c r="D186" s="71">
        <v>57272000</v>
      </c>
      <c r="E186" s="9"/>
      <c r="F186" s="9"/>
      <c r="G186" s="62"/>
      <c r="H186" s="54">
        <v>6.5</v>
      </c>
      <c r="I186" s="34"/>
      <c r="J186" s="34"/>
      <c r="K186" s="34">
        <v>57272000</v>
      </c>
      <c r="L186" s="8">
        <f t="shared" si="94"/>
        <v>57272000</v>
      </c>
      <c r="M186" s="8">
        <v>34362000</v>
      </c>
      <c r="N186" s="90">
        <f t="shared" si="95"/>
        <v>22907000</v>
      </c>
      <c r="O186" s="8"/>
      <c r="P186" s="61">
        <v>0</v>
      </c>
      <c r="Q186" s="8">
        <v>0</v>
      </c>
      <c r="R186" s="4">
        <v>11455000</v>
      </c>
      <c r="S186" s="90">
        <f t="shared" si="92"/>
        <v>11452000</v>
      </c>
      <c r="T186" s="93">
        <f t="shared" si="87"/>
        <v>11455000</v>
      </c>
      <c r="U186" s="93">
        <f>T186</f>
        <v>11455000</v>
      </c>
      <c r="V186" s="34"/>
      <c r="W186" s="34">
        <v>540554</v>
      </c>
      <c r="X186" s="4">
        <v>3722679</v>
      </c>
      <c r="Y186" s="4">
        <v>3730343</v>
      </c>
      <c r="Z186" s="4">
        <v>11454000</v>
      </c>
      <c r="AA186" s="93">
        <f t="shared" si="90"/>
        <v>2233530</v>
      </c>
      <c r="AB186" s="90">
        <f t="shared" si="91"/>
        <v>1488955</v>
      </c>
      <c r="AC186" s="4">
        <f t="shared" si="85"/>
        <v>744380</v>
      </c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</row>
    <row r="187" spans="1:61" s="37" customFormat="1" ht="27.6" customHeight="1" x14ac:dyDescent="0.2">
      <c r="A187" s="9">
        <v>177</v>
      </c>
      <c r="B187" s="58" t="s">
        <v>229</v>
      </c>
      <c r="C187" s="9" t="s">
        <v>213</v>
      </c>
      <c r="D187" s="71">
        <v>3148000</v>
      </c>
      <c r="E187" s="9"/>
      <c r="F187" s="9"/>
      <c r="G187" s="62"/>
      <c r="H187" s="54">
        <v>6.5</v>
      </c>
      <c r="I187" s="34"/>
      <c r="J187" s="34">
        <v>0</v>
      </c>
      <c r="K187" s="34">
        <v>3148000</v>
      </c>
      <c r="L187" s="8">
        <f t="shared" si="94"/>
        <v>3148000</v>
      </c>
      <c r="M187" s="8">
        <v>1888800</v>
      </c>
      <c r="N187" s="90">
        <f t="shared" si="95"/>
        <v>1259200</v>
      </c>
      <c r="O187" s="8"/>
      <c r="P187" s="61">
        <v>0</v>
      </c>
      <c r="Q187" s="8">
        <v>0</v>
      </c>
      <c r="R187" s="4">
        <v>629600</v>
      </c>
      <c r="S187" s="90">
        <f t="shared" si="92"/>
        <v>629600</v>
      </c>
      <c r="T187" s="93">
        <f t="shared" si="87"/>
        <v>629600</v>
      </c>
      <c r="U187" s="93">
        <f t="shared" si="88"/>
        <v>629600</v>
      </c>
      <c r="V187" s="34"/>
      <c r="W187" s="34">
        <v>19060</v>
      </c>
      <c r="X187" s="4">
        <v>204620</v>
      </c>
      <c r="Y187" s="4">
        <v>205041</v>
      </c>
      <c r="Z187" s="4">
        <f t="shared" si="93"/>
        <v>629600</v>
      </c>
      <c r="AA187" s="93">
        <f t="shared" si="90"/>
        <v>122772</v>
      </c>
      <c r="AB187" s="90">
        <f t="shared" si="91"/>
        <v>81848</v>
      </c>
      <c r="AC187" s="4">
        <f t="shared" si="85"/>
        <v>40924</v>
      </c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</row>
    <row r="188" spans="1:61" s="37" customFormat="1" ht="27.6" customHeight="1" x14ac:dyDescent="0.2">
      <c r="A188" s="80">
        <v>178</v>
      </c>
      <c r="B188" s="58" t="s">
        <v>229</v>
      </c>
      <c r="C188" s="9" t="s">
        <v>213</v>
      </c>
      <c r="D188" s="71">
        <v>126737000</v>
      </c>
      <c r="E188" s="9"/>
      <c r="F188" s="9"/>
      <c r="G188" s="62"/>
      <c r="H188" s="54">
        <v>6.5</v>
      </c>
      <c r="I188" s="34"/>
      <c r="J188" s="34"/>
      <c r="K188" s="34">
        <f t="shared" ref="K188:K199" si="96">D188</f>
        <v>126737000</v>
      </c>
      <c r="L188" s="8">
        <f t="shared" si="94"/>
        <v>126737000</v>
      </c>
      <c r="M188" s="8">
        <v>76043000</v>
      </c>
      <c r="N188" s="90">
        <f t="shared" si="95"/>
        <v>50696000</v>
      </c>
      <c r="O188" s="8"/>
      <c r="P188" s="61">
        <v>0</v>
      </c>
      <c r="Q188" s="8">
        <v>0</v>
      </c>
      <c r="R188" s="4">
        <v>25347000</v>
      </c>
      <c r="S188" s="90">
        <f t="shared" si="92"/>
        <v>25349000</v>
      </c>
      <c r="T188" s="93">
        <f t="shared" si="87"/>
        <v>25347000</v>
      </c>
      <c r="U188" s="93">
        <f t="shared" si="88"/>
        <v>25347000</v>
      </c>
      <c r="V188" s="34"/>
      <c r="W188" s="34">
        <v>767366</v>
      </c>
      <c r="X188" s="4">
        <v>8237905</v>
      </c>
      <c r="Y188" s="4">
        <v>8254863</v>
      </c>
      <c r="Z188" s="4">
        <v>25349000</v>
      </c>
      <c r="AA188" s="93">
        <f t="shared" si="90"/>
        <v>4942795</v>
      </c>
      <c r="AB188" s="90">
        <f t="shared" si="91"/>
        <v>3295240</v>
      </c>
      <c r="AC188" s="4">
        <f t="shared" si="85"/>
        <v>1647685</v>
      </c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</row>
    <row r="189" spans="1:61" s="37" customFormat="1" ht="27.6" customHeight="1" x14ac:dyDescent="0.2">
      <c r="A189" s="9">
        <v>179</v>
      </c>
      <c r="B189" s="58" t="s">
        <v>229</v>
      </c>
      <c r="C189" s="9" t="s">
        <v>213</v>
      </c>
      <c r="D189" s="71">
        <v>13705000</v>
      </c>
      <c r="E189" s="9"/>
      <c r="F189" s="9"/>
      <c r="G189" s="62"/>
      <c r="H189" s="54">
        <v>6.5</v>
      </c>
      <c r="I189" s="34"/>
      <c r="J189" s="34"/>
      <c r="K189" s="34">
        <f t="shared" si="96"/>
        <v>13705000</v>
      </c>
      <c r="L189" s="8">
        <f t="shared" si="94"/>
        <v>13705000</v>
      </c>
      <c r="M189" s="8">
        <v>8223000</v>
      </c>
      <c r="N189" s="90">
        <f t="shared" si="95"/>
        <v>5482000</v>
      </c>
      <c r="O189" s="8"/>
      <c r="P189" s="61">
        <v>0</v>
      </c>
      <c r="Q189" s="8">
        <v>0</v>
      </c>
      <c r="R189" s="4">
        <v>2741000</v>
      </c>
      <c r="S189" s="90">
        <f t="shared" si="92"/>
        <v>2741000</v>
      </c>
      <c r="T189" s="93">
        <f t="shared" si="87"/>
        <v>2741000</v>
      </c>
      <c r="U189" s="93">
        <f t="shared" si="88"/>
        <v>2741000</v>
      </c>
      <c r="V189" s="34"/>
      <c r="W189" s="34">
        <v>82981</v>
      </c>
      <c r="X189" s="4">
        <v>890825</v>
      </c>
      <c r="Y189" s="4">
        <v>892659</v>
      </c>
      <c r="Z189" s="4">
        <f t="shared" si="93"/>
        <v>2741000</v>
      </c>
      <c r="AA189" s="93">
        <f t="shared" si="90"/>
        <v>534495</v>
      </c>
      <c r="AB189" s="90">
        <f t="shared" si="91"/>
        <v>356330</v>
      </c>
      <c r="AC189" s="4">
        <f t="shared" si="85"/>
        <v>178165</v>
      </c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</row>
    <row r="190" spans="1:61" s="37" customFormat="1" ht="27.6" customHeight="1" x14ac:dyDescent="0.2">
      <c r="A190" s="80">
        <v>180</v>
      </c>
      <c r="B190" s="58" t="s">
        <v>229</v>
      </c>
      <c r="C190" s="9" t="s">
        <v>213</v>
      </c>
      <c r="D190" s="71">
        <v>275937000</v>
      </c>
      <c r="E190" s="9"/>
      <c r="F190" s="9"/>
      <c r="G190" s="62"/>
      <c r="H190" s="54">
        <v>6.5</v>
      </c>
      <c r="I190" s="34"/>
      <c r="J190" s="34"/>
      <c r="K190" s="34">
        <f t="shared" si="96"/>
        <v>275937000</v>
      </c>
      <c r="L190" s="8">
        <f t="shared" si="94"/>
        <v>275937000</v>
      </c>
      <c r="M190" s="8">
        <v>165563000</v>
      </c>
      <c r="N190" s="90">
        <f t="shared" si="95"/>
        <v>110376000</v>
      </c>
      <c r="O190" s="8"/>
      <c r="P190" s="61">
        <v>0</v>
      </c>
      <c r="Q190" s="8">
        <v>0</v>
      </c>
      <c r="R190" s="4">
        <v>55187000</v>
      </c>
      <c r="S190" s="90">
        <f t="shared" si="92"/>
        <v>55189000</v>
      </c>
      <c r="T190" s="93">
        <f t="shared" si="87"/>
        <v>55187000</v>
      </c>
      <c r="U190" s="93">
        <f t="shared" si="88"/>
        <v>55187000</v>
      </c>
      <c r="V190" s="34"/>
      <c r="W190" s="34">
        <v>1670742</v>
      </c>
      <c r="X190" s="4">
        <v>17935905</v>
      </c>
      <c r="Y190" s="4">
        <v>17972827</v>
      </c>
      <c r="Z190" s="4">
        <v>55189000</v>
      </c>
      <c r="AA190" s="93">
        <f t="shared" si="90"/>
        <v>10761595</v>
      </c>
      <c r="AB190" s="90">
        <f t="shared" si="91"/>
        <v>7174440</v>
      </c>
      <c r="AC190" s="4">
        <f t="shared" si="85"/>
        <v>3587285</v>
      </c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</row>
    <row r="191" spans="1:61" s="37" customFormat="1" ht="27.6" customHeight="1" x14ac:dyDescent="0.2">
      <c r="A191" s="9">
        <v>181</v>
      </c>
      <c r="B191" s="58" t="s">
        <v>229</v>
      </c>
      <c r="C191" s="9" t="s">
        <v>213</v>
      </c>
      <c r="D191" s="71">
        <v>45333000</v>
      </c>
      <c r="E191" s="9"/>
      <c r="F191" s="9"/>
      <c r="G191" s="62"/>
      <c r="H191" s="54">
        <v>6.5</v>
      </c>
      <c r="I191" s="34"/>
      <c r="J191" s="34"/>
      <c r="K191" s="34">
        <f t="shared" si="96"/>
        <v>45333000</v>
      </c>
      <c r="L191" s="8">
        <f t="shared" si="94"/>
        <v>45333000</v>
      </c>
      <c r="M191" s="8">
        <v>27199800</v>
      </c>
      <c r="N191" s="90">
        <f t="shared" si="95"/>
        <v>18133200</v>
      </c>
      <c r="O191" s="8"/>
      <c r="P191" s="61">
        <v>0</v>
      </c>
      <c r="Q191" s="8">
        <v>0</v>
      </c>
      <c r="R191" s="4">
        <v>9066600</v>
      </c>
      <c r="S191" s="90">
        <f t="shared" si="92"/>
        <v>9066600</v>
      </c>
      <c r="T191" s="93">
        <f t="shared" si="87"/>
        <v>9066600</v>
      </c>
      <c r="U191" s="93">
        <f t="shared" si="88"/>
        <v>9066600</v>
      </c>
      <c r="V191" s="34"/>
      <c r="W191" s="34">
        <v>274482</v>
      </c>
      <c r="X191" s="4">
        <v>2946645</v>
      </c>
      <c r="Y191" s="4">
        <v>2952711</v>
      </c>
      <c r="Z191" s="4">
        <f t="shared" si="93"/>
        <v>9066600</v>
      </c>
      <c r="AA191" s="93">
        <f t="shared" si="90"/>
        <v>1767987</v>
      </c>
      <c r="AB191" s="90">
        <f t="shared" si="91"/>
        <v>1178658</v>
      </c>
      <c r="AC191" s="4">
        <f t="shared" si="85"/>
        <v>589329</v>
      </c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</row>
    <row r="192" spans="1:61" s="37" customFormat="1" ht="27.6" customHeight="1" x14ac:dyDescent="0.2">
      <c r="A192" s="80">
        <v>182</v>
      </c>
      <c r="B192" s="58" t="s">
        <v>225</v>
      </c>
      <c r="C192" s="9" t="s">
        <v>213</v>
      </c>
      <c r="D192" s="71">
        <v>1008000</v>
      </c>
      <c r="E192" s="9"/>
      <c r="F192" s="9"/>
      <c r="G192" s="62"/>
      <c r="H192" s="54">
        <v>6.5</v>
      </c>
      <c r="I192" s="34"/>
      <c r="J192" s="34"/>
      <c r="K192" s="34">
        <f t="shared" si="96"/>
        <v>1008000</v>
      </c>
      <c r="L192" s="8">
        <f t="shared" si="94"/>
        <v>1008000</v>
      </c>
      <c r="M192" s="8">
        <v>604000</v>
      </c>
      <c r="N192" s="90">
        <f t="shared" si="95"/>
        <v>402000</v>
      </c>
      <c r="O192" s="8"/>
      <c r="P192" s="61">
        <v>0</v>
      </c>
      <c r="Q192" s="8">
        <v>0</v>
      </c>
      <c r="R192" s="4">
        <v>202000</v>
      </c>
      <c r="S192" s="90">
        <f t="shared" si="92"/>
        <v>200000</v>
      </c>
      <c r="T192" s="93">
        <f t="shared" si="87"/>
        <v>202000</v>
      </c>
      <c r="U192" s="93">
        <f t="shared" si="88"/>
        <v>202000</v>
      </c>
      <c r="V192" s="34"/>
      <c r="W192" s="34">
        <v>5206</v>
      </c>
      <c r="X192" s="4">
        <v>380364</v>
      </c>
      <c r="Y192" s="4">
        <v>65655</v>
      </c>
      <c r="Z192" s="4">
        <v>200000</v>
      </c>
      <c r="AA192" s="93">
        <f t="shared" si="90"/>
        <v>39260</v>
      </c>
      <c r="AB192" s="90">
        <f t="shared" si="91"/>
        <v>26130</v>
      </c>
      <c r="AC192" s="4">
        <f t="shared" si="85"/>
        <v>13000</v>
      </c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</row>
    <row r="193" spans="1:61" s="37" customFormat="1" ht="27.6" customHeight="1" x14ac:dyDescent="0.2">
      <c r="A193" s="9">
        <v>183</v>
      </c>
      <c r="B193" s="58" t="s">
        <v>231</v>
      </c>
      <c r="C193" s="9" t="s">
        <v>213</v>
      </c>
      <c r="D193" s="71">
        <v>21075000</v>
      </c>
      <c r="E193" s="9"/>
      <c r="F193" s="9"/>
      <c r="G193" s="62"/>
      <c r="H193" s="54">
        <v>6.5</v>
      </c>
      <c r="I193" s="34"/>
      <c r="J193" s="34"/>
      <c r="K193" s="34">
        <f t="shared" si="96"/>
        <v>21075000</v>
      </c>
      <c r="L193" s="8">
        <f t="shared" si="94"/>
        <v>21075000</v>
      </c>
      <c r="M193" s="8">
        <v>12645000</v>
      </c>
      <c r="N193" s="90">
        <f t="shared" si="95"/>
        <v>8430000</v>
      </c>
      <c r="O193" s="8"/>
      <c r="P193" s="61">
        <v>0</v>
      </c>
      <c r="Q193" s="8">
        <v>0</v>
      </c>
      <c r="R193" s="4">
        <v>4215000</v>
      </c>
      <c r="S193" s="90">
        <f t="shared" si="92"/>
        <v>4215000</v>
      </c>
      <c r="T193" s="93">
        <f t="shared" si="87"/>
        <v>4215000</v>
      </c>
      <c r="U193" s="93">
        <f t="shared" si="88"/>
        <v>4215000</v>
      </c>
      <c r="V193" s="34"/>
      <c r="W193" s="34">
        <v>101333</v>
      </c>
      <c r="X193" s="4">
        <v>1369875</v>
      </c>
      <c r="Y193" s="4">
        <v>1372695</v>
      </c>
      <c r="Z193" s="4">
        <f t="shared" si="93"/>
        <v>4215000</v>
      </c>
      <c r="AA193" s="93">
        <f t="shared" si="90"/>
        <v>821925</v>
      </c>
      <c r="AB193" s="90">
        <f t="shared" si="91"/>
        <v>547950</v>
      </c>
      <c r="AC193" s="4">
        <f t="shared" si="85"/>
        <v>273975</v>
      </c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</row>
    <row r="194" spans="1:61" s="37" customFormat="1" ht="27.6" customHeight="1" x14ac:dyDescent="0.2">
      <c r="A194" s="80">
        <v>184</v>
      </c>
      <c r="B194" s="58" t="s">
        <v>231</v>
      </c>
      <c r="C194" s="9" t="s">
        <v>213</v>
      </c>
      <c r="D194" s="71">
        <v>17757000</v>
      </c>
      <c r="E194" s="9"/>
      <c r="F194" s="9"/>
      <c r="G194" s="62"/>
      <c r="H194" s="54">
        <v>6.5</v>
      </c>
      <c r="I194" s="34"/>
      <c r="J194" s="34"/>
      <c r="K194" s="34">
        <f t="shared" si="96"/>
        <v>17757000</v>
      </c>
      <c r="L194" s="8">
        <f t="shared" si="94"/>
        <v>17757000</v>
      </c>
      <c r="M194" s="8">
        <v>10654200</v>
      </c>
      <c r="N194" s="90">
        <f t="shared" si="95"/>
        <v>7102800</v>
      </c>
      <c r="O194" s="8"/>
      <c r="P194" s="61">
        <v>0</v>
      </c>
      <c r="Q194" s="8">
        <v>0</v>
      </c>
      <c r="R194" s="4">
        <v>3551400</v>
      </c>
      <c r="S194" s="90">
        <f t="shared" si="92"/>
        <v>3551400</v>
      </c>
      <c r="T194" s="93">
        <f t="shared" si="87"/>
        <v>3551400</v>
      </c>
      <c r="U194" s="93">
        <f t="shared" si="88"/>
        <v>3551400</v>
      </c>
      <c r="V194" s="34"/>
      <c r="W194" s="34">
        <v>85380</v>
      </c>
      <c r="X194" s="4">
        <v>1154205</v>
      </c>
      <c r="Y194" s="4">
        <v>1156581</v>
      </c>
      <c r="Z194" s="4">
        <f t="shared" si="93"/>
        <v>3551400</v>
      </c>
      <c r="AA194" s="93">
        <f t="shared" si="90"/>
        <v>692523</v>
      </c>
      <c r="AB194" s="90">
        <f t="shared" si="91"/>
        <v>461682</v>
      </c>
      <c r="AC194" s="4">
        <f t="shared" si="85"/>
        <v>230841</v>
      </c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</row>
    <row r="195" spans="1:61" s="37" customFormat="1" ht="27.6" customHeight="1" x14ac:dyDescent="0.2">
      <c r="A195" s="9">
        <v>185</v>
      </c>
      <c r="B195" s="58" t="s">
        <v>231</v>
      </c>
      <c r="C195" s="9" t="s">
        <v>213</v>
      </c>
      <c r="D195" s="71">
        <v>67834000</v>
      </c>
      <c r="E195" s="9"/>
      <c r="F195" s="9"/>
      <c r="G195" s="62"/>
      <c r="H195" s="54">
        <v>6.5</v>
      </c>
      <c r="I195" s="34"/>
      <c r="J195" s="34"/>
      <c r="K195" s="34">
        <f t="shared" si="96"/>
        <v>67834000</v>
      </c>
      <c r="L195" s="8">
        <f t="shared" si="94"/>
        <v>67834000</v>
      </c>
      <c r="M195" s="8">
        <v>40700400</v>
      </c>
      <c r="N195" s="90">
        <f t="shared" si="95"/>
        <v>27133600</v>
      </c>
      <c r="O195" s="8"/>
      <c r="P195" s="61">
        <v>0</v>
      </c>
      <c r="Q195" s="8">
        <v>0</v>
      </c>
      <c r="R195" s="4">
        <v>13566800</v>
      </c>
      <c r="S195" s="90">
        <f t="shared" si="92"/>
        <v>13566800</v>
      </c>
      <c r="T195" s="93">
        <f t="shared" si="87"/>
        <v>13566800</v>
      </c>
      <c r="U195" s="93">
        <f t="shared" si="88"/>
        <v>13566800</v>
      </c>
      <c r="V195" s="34"/>
      <c r="W195" s="34">
        <v>326161</v>
      </c>
      <c r="X195" s="4">
        <v>4409210</v>
      </c>
      <c r="Y195" s="4">
        <v>4418287</v>
      </c>
      <c r="Z195" s="4">
        <f t="shared" si="93"/>
        <v>13566800</v>
      </c>
      <c r="AA195" s="93">
        <f t="shared" si="90"/>
        <v>2645526</v>
      </c>
      <c r="AB195" s="90">
        <f t="shared" si="91"/>
        <v>1763684</v>
      </c>
      <c r="AC195" s="4">
        <f t="shared" si="85"/>
        <v>881842</v>
      </c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</row>
    <row r="196" spans="1:61" s="37" customFormat="1" ht="27.6" customHeight="1" x14ac:dyDescent="0.2">
      <c r="A196" s="80">
        <v>186</v>
      </c>
      <c r="B196" s="58" t="s">
        <v>231</v>
      </c>
      <c r="C196" s="9" t="s">
        <v>213</v>
      </c>
      <c r="D196" s="71">
        <v>14716000</v>
      </c>
      <c r="E196" s="9"/>
      <c r="F196" s="9"/>
      <c r="G196" s="62"/>
      <c r="H196" s="54">
        <v>6.5</v>
      </c>
      <c r="I196" s="34"/>
      <c r="J196" s="34"/>
      <c r="K196" s="34">
        <f t="shared" si="96"/>
        <v>14716000</v>
      </c>
      <c r="L196" s="8">
        <f t="shared" si="94"/>
        <v>14716000</v>
      </c>
      <c r="M196" s="8">
        <v>8829600</v>
      </c>
      <c r="N196" s="90">
        <f t="shared" si="95"/>
        <v>5886400</v>
      </c>
      <c r="O196" s="8"/>
      <c r="P196" s="61">
        <v>0</v>
      </c>
      <c r="Q196" s="8">
        <v>0</v>
      </c>
      <c r="R196" s="4">
        <v>2943200</v>
      </c>
      <c r="S196" s="90">
        <f t="shared" si="92"/>
        <v>2943200</v>
      </c>
      <c r="T196" s="93">
        <f t="shared" si="87"/>
        <v>2943200</v>
      </c>
      <c r="U196" s="93">
        <f t="shared" si="88"/>
        <v>2943200</v>
      </c>
      <c r="V196" s="34"/>
      <c r="W196" s="34">
        <v>70758</v>
      </c>
      <c r="X196" s="4">
        <v>956540</v>
      </c>
      <c r="Y196" s="4">
        <v>958509</v>
      </c>
      <c r="Z196" s="4">
        <f t="shared" si="93"/>
        <v>2943200</v>
      </c>
      <c r="AA196" s="93">
        <f t="shared" si="90"/>
        <v>573924</v>
      </c>
      <c r="AB196" s="90">
        <f t="shared" si="91"/>
        <v>382616</v>
      </c>
      <c r="AC196" s="4">
        <f t="shared" si="85"/>
        <v>191308</v>
      </c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</row>
    <row r="197" spans="1:61" s="37" customFormat="1" ht="27.6" customHeight="1" x14ac:dyDescent="0.2">
      <c r="A197" s="9">
        <v>187</v>
      </c>
      <c r="B197" s="58" t="s">
        <v>232</v>
      </c>
      <c r="C197" s="9" t="s">
        <v>213</v>
      </c>
      <c r="D197" s="71">
        <v>53795000</v>
      </c>
      <c r="E197" s="9"/>
      <c r="F197" s="9"/>
      <c r="G197" s="62"/>
      <c r="H197" s="54">
        <v>6.5</v>
      </c>
      <c r="I197" s="34"/>
      <c r="J197" s="34"/>
      <c r="K197" s="34">
        <f t="shared" si="96"/>
        <v>53795000</v>
      </c>
      <c r="L197" s="8">
        <f t="shared" si="94"/>
        <v>53795000</v>
      </c>
      <c r="M197" s="8">
        <v>32277000</v>
      </c>
      <c r="N197" s="90">
        <f t="shared" si="95"/>
        <v>21518000</v>
      </c>
      <c r="O197" s="8"/>
      <c r="P197" s="61">
        <v>0</v>
      </c>
      <c r="Q197" s="8">
        <v>0</v>
      </c>
      <c r="R197" s="4">
        <v>10759000</v>
      </c>
      <c r="S197" s="90">
        <f t="shared" si="92"/>
        <v>10759000</v>
      </c>
      <c r="T197" s="93">
        <f t="shared" si="87"/>
        <v>10759000</v>
      </c>
      <c r="U197" s="93">
        <f t="shared" si="88"/>
        <v>10759000</v>
      </c>
      <c r="V197" s="34"/>
      <c r="W197" s="34">
        <v>143699</v>
      </c>
      <c r="X197" s="4">
        <v>3496675</v>
      </c>
      <c r="Y197" s="4">
        <v>3503873</v>
      </c>
      <c r="Z197" s="4">
        <f t="shared" si="93"/>
        <v>10759000</v>
      </c>
      <c r="AA197" s="93">
        <f t="shared" si="90"/>
        <v>2098005</v>
      </c>
      <c r="AB197" s="90">
        <f t="shared" si="91"/>
        <v>1398670</v>
      </c>
      <c r="AC197" s="4">
        <f t="shared" si="85"/>
        <v>699335</v>
      </c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</row>
    <row r="198" spans="1:61" s="37" customFormat="1" ht="27.6" customHeight="1" x14ac:dyDescent="0.2">
      <c r="A198" s="80">
        <v>188</v>
      </c>
      <c r="B198" s="58" t="s">
        <v>227</v>
      </c>
      <c r="C198" s="9" t="s">
        <v>213</v>
      </c>
      <c r="D198" s="71">
        <v>3457000</v>
      </c>
      <c r="E198" s="9"/>
      <c r="F198" s="9"/>
      <c r="G198" s="62"/>
      <c r="H198" s="54">
        <v>6.5</v>
      </c>
      <c r="I198" s="34"/>
      <c r="J198" s="34"/>
      <c r="K198" s="34">
        <f t="shared" si="96"/>
        <v>3457000</v>
      </c>
      <c r="L198" s="8">
        <f t="shared" si="94"/>
        <v>3457000</v>
      </c>
      <c r="M198" s="8">
        <v>2074200</v>
      </c>
      <c r="N198" s="90">
        <f t="shared" si="95"/>
        <v>1382800</v>
      </c>
      <c r="O198" s="8"/>
      <c r="P198" s="61">
        <v>0</v>
      </c>
      <c r="Q198" s="8">
        <v>0</v>
      </c>
      <c r="R198" s="4">
        <v>691400</v>
      </c>
      <c r="S198" s="90">
        <f t="shared" si="92"/>
        <v>691400</v>
      </c>
      <c r="T198" s="93">
        <f t="shared" si="87"/>
        <v>691400</v>
      </c>
      <c r="U198" s="93">
        <f t="shared" si="88"/>
        <v>691400</v>
      </c>
      <c r="V198" s="34"/>
      <c r="W198" s="34">
        <v>1231</v>
      </c>
      <c r="X198" s="4">
        <v>224705</v>
      </c>
      <c r="Y198" s="4">
        <v>225168</v>
      </c>
      <c r="Z198" s="4">
        <f t="shared" si="93"/>
        <v>691400</v>
      </c>
      <c r="AA198" s="93">
        <f t="shared" si="90"/>
        <v>134823</v>
      </c>
      <c r="AB198" s="90">
        <f t="shared" si="91"/>
        <v>89882</v>
      </c>
      <c r="AC198" s="4">
        <f t="shared" si="85"/>
        <v>44941</v>
      </c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</row>
    <row r="199" spans="1:61" s="37" customFormat="1" ht="27.6" customHeight="1" x14ac:dyDescent="0.2">
      <c r="A199" s="9">
        <v>189</v>
      </c>
      <c r="B199" s="58" t="s">
        <v>227</v>
      </c>
      <c r="C199" s="9" t="s">
        <v>213</v>
      </c>
      <c r="D199" s="71">
        <v>46267000</v>
      </c>
      <c r="E199" s="9"/>
      <c r="F199" s="9"/>
      <c r="G199" s="62"/>
      <c r="H199" s="54">
        <v>6.5</v>
      </c>
      <c r="I199" s="34"/>
      <c r="J199" s="34"/>
      <c r="K199" s="34">
        <f t="shared" si="96"/>
        <v>46267000</v>
      </c>
      <c r="L199" s="8">
        <f t="shared" si="94"/>
        <v>46267000</v>
      </c>
      <c r="M199" s="8">
        <v>27760200</v>
      </c>
      <c r="N199" s="90">
        <f t="shared" si="95"/>
        <v>18506800</v>
      </c>
      <c r="O199" s="8"/>
      <c r="P199" s="61">
        <v>0</v>
      </c>
      <c r="Q199" s="8">
        <v>0</v>
      </c>
      <c r="R199" s="4">
        <v>9253400</v>
      </c>
      <c r="S199" s="90">
        <f t="shared" si="92"/>
        <v>9253400</v>
      </c>
      <c r="T199" s="93">
        <f t="shared" si="87"/>
        <v>9253400</v>
      </c>
      <c r="U199" s="93">
        <f t="shared" si="88"/>
        <v>9253400</v>
      </c>
      <c r="V199" s="34"/>
      <c r="W199" s="34">
        <v>16479</v>
      </c>
      <c r="X199" s="4">
        <v>3007355</v>
      </c>
      <c r="Y199" s="4">
        <v>3013546</v>
      </c>
      <c r="Z199" s="4">
        <f t="shared" si="93"/>
        <v>9253400</v>
      </c>
      <c r="AA199" s="93">
        <f t="shared" si="90"/>
        <v>1804413</v>
      </c>
      <c r="AB199" s="90">
        <f t="shared" si="91"/>
        <v>1202942</v>
      </c>
      <c r="AC199" s="4">
        <f t="shared" si="85"/>
        <v>601471</v>
      </c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</row>
    <row r="200" spans="1:61" s="37" customFormat="1" ht="27.6" customHeight="1" x14ac:dyDescent="0.2">
      <c r="A200" s="80">
        <v>190</v>
      </c>
      <c r="B200" s="58" t="s">
        <v>319</v>
      </c>
      <c r="C200" s="9" t="s">
        <v>213</v>
      </c>
      <c r="D200" s="71">
        <v>7125000</v>
      </c>
      <c r="E200" s="9"/>
      <c r="F200" s="9"/>
      <c r="G200" s="62"/>
      <c r="H200" s="54">
        <v>6.5</v>
      </c>
      <c r="I200" s="34"/>
      <c r="J200" s="34"/>
      <c r="K200" s="34">
        <v>7125000</v>
      </c>
      <c r="L200" s="8">
        <f t="shared" ref="L200:L231" si="97">D200</f>
        <v>7125000</v>
      </c>
      <c r="M200" s="8">
        <v>5700000</v>
      </c>
      <c r="N200" s="90">
        <f t="shared" si="95"/>
        <v>4275000</v>
      </c>
      <c r="O200" s="8"/>
      <c r="P200" s="61"/>
      <c r="Q200" s="8">
        <v>0</v>
      </c>
      <c r="R200" s="4">
        <v>0</v>
      </c>
      <c r="S200" s="90">
        <f t="shared" si="92"/>
        <v>2850000</v>
      </c>
      <c r="T200" s="4">
        <f>D200/5</f>
        <v>1425000</v>
      </c>
      <c r="U200" s="93">
        <f t="shared" si="88"/>
        <v>1425000</v>
      </c>
      <c r="V200" s="34"/>
      <c r="W200" s="34"/>
      <c r="X200" s="4">
        <v>463125</v>
      </c>
      <c r="Y200" s="4">
        <v>463125</v>
      </c>
      <c r="Z200" s="4">
        <f t="shared" si="93"/>
        <v>1425000</v>
      </c>
      <c r="AA200" s="93">
        <f t="shared" si="90"/>
        <v>370500</v>
      </c>
      <c r="AB200" s="90">
        <f t="shared" si="91"/>
        <v>277875</v>
      </c>
      <c r="AC200" s="4">
        <f t="shared" si="85"/>
        <v>185250</v>
      </c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</row>
    <row r="201" spans="1:61" s="37" customFormat="1" ht="27.6" customHeight="1" x14ac:dyDescent="0.2">
      <c r="A201" s="9">
        <v>191</v>
      </c>
      <c r="B201" s="58" t="s">
        <v>319</v>
      </c>
      <c r="C201" s="9" t="s">
        <v>213</v>
      </c>
      <c r="D201" s="71">
        <v>5992000</v>
      </c>
      <c r="E201" s="9"/>
      <c r="F201" s="9"/>
      <c r="G201" s="62"/>
      <c r="H201" s="54">
        <v>6.5</v>
      </c>
      <c r="I201" s="34"/>
      <c r="J201" s="34"/>
      <c r="K201" s="34">
        <v>5992000</v>
      </c>
      <c r="L201" s="8">
        <f t="shared" si="97"/>
        <v>5992000</v>
      </c>
      <c r="M201" s="8">
        <v>4793600</v>
      </c>
      <c r="N201" s="90">
        <f t="shared" si="95"/>
        <v>3595200</v>
      </c>
      <c r="O201" s="8"/>
      <c r="P201" s="61"/>
      <c r="Q201" s="8">
        <v>0</v>
      </c>
      <c r="R201" s="4">
        <v>0</v>
      </c>
      <c r="S201" s="90">
        <f t="shared" si="92"/>
        <v>2396800</v>
      </c>
      <c r="T201" s="4">
        <f t="shared" ref="T201:T264" si="98">D201/5</f>
        <v>1198400</v>
      </c>
      <c r="U201" s="93">
        <f t="shared" si="88"/>
        <v>1198400</v>
      </c>
      <c r="V201" s="34"/>
      <c r="W201" s="34"/>
      <c r="X201" s="4">
        <v>389480</v>
      </c>
      <c r="Y201" s="4">
        <v>389480</v>
      </c>
      <c r="Z201" s="4">
        <f t="shared" si="93"/>
        <v>1198400</v>
      </c>
      <c r="AA201" s="93">
        <f t="shared" si="90"/>
        <v>311584</v>
      </c>
      <c r="AB201" s="90">
        <f t="shared" si="91"/>
        <v>233688</v>
      </c>
      <c r="AC201" s="4">
        <f t="shared" si="85"/>
        <v>155792</v>
      </c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</row>
    <row r="202" spans="1:61" s="37" customFormat="1" ht="27.6" customHeight="1" x14ac:dyDescent="0.2">
      <c r="A202" s="80">
        <v>192</v>
      </c>
      <c r="B202" s="58" t="s">
        <v>329</v>
      </c>
      <c r="C202" s="9" t="s">
        <v>213</v>
      </c>
      <c r="D202" s="71">
        <v>5158000</v>
      </c>
      <c r="E202" s="9"/>
      <c r="F202" s="9"/>
      <c r="G202" s="62"/>
      <c r="H202" s="54">
        <v>6.5</v>
      </c>
      <c r="I202" s="34"/>
      <c r="J202" s="34"/>
      <c r="K202" s="34">
        <v>5158000</v>
      </c>
      <c r="L202" s="8">
        <f t="shared" si="97"/>
        <v>5158000</v>
      </c>
      <c r="M202" s="8">
        <v>4126400</v>
      </c>
      <c r="N202" s="90">
        <f t="shared" ref="N202:N233" si="99">M202-U202</f>
        <v>3094800</v>
      </c>
      <c r="O202" s="8"/>
      <c r="P202" s="61"/>
      <c r="Q202" s="8">
        <v>0</v>
      </c>
      <c r="R202" s="4">
        <v>0</v>
      </c>
      <c r="S202" s="90">
        <f t="shared" si="92"/>
        <v>2063200</v>
      </c>
      <c r="T202" s="4">
        <f t="shared" si="98"/>
        <v>1031600</v>
      </c>
      <c r="U202" s="93">
        <f t="shared" si="88"/>
        <v>1031600</v>
      </c>
      <c r="V202" s="34"/>
      <c r="W202" s="34"/>
      <c r="X202" s="4">
        <v>335270</v>
      </c>
      <c r="Y202" s="4">
        <v>335270</v>
      </c>
      <c r="Z202" s="4">
        <f t="shared" si="93"/>
        <v>1031600</v>
      </c>
      <c r="AA202" s="93">
        <f t="shared" si="90"/>
        <v>268216</v>
      </c>
      <c r="AB202" s="90">
        <f t="shared" si="91"/>
        <v>201162</v>
      </c>
      <c r="AC202" s="4">
        <f t="shared" ref="AC202:AC265" si="100">S202*H202%</f>
        <v>134108</v>
      </c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</row>
    <row r="203" spans="1:61" s="37" customFormat="1" ht="27.6" customHeight="1" x14ac:dyDescent="0.2">
      <c r="A203" s="9">
        <v>193</v>
      </c>
      <c r="B203" s="58" t="s">
        <v>334</v>
      </c>
      <c r="C203" s="9" t="s">
        <v>213</v>
      </c>
      <c r="D203" s="71">
        <v>3159000</v>
      </c>
      <c r="E203" s="9"/>
      <c r="F203" s="9"/>
      <c r="G203" s="62"/>
      <c r="H203" s="54">
        <v>6.5</v>
      </c>
      <c r="I203" s="34"/>
      <c r="J203" s="34"/>
      <c r="K203" s="34">
        <v>3159000</v>
      </c>
      <c r="L203" s="8">
        <f t="shared" si="97"/>
        <v>3159000</v>
      </c>
      <c r="M203" s="8">
        <v>2527200</v>
      </c>
      <c r="N203" s="90">
        <f t="shared" si="99"/>
        <v>1895400</v>
      </c>
      <c r="O203" s="8"/>
      <c r="P203" s="61"/>
      <c r="Q203" s="8">
        <v>0</v>
      </c>
      <c r="R203" s="4">
        <v>0</v>
      </c>
      <c r="S203" s="90">
        <f t="shared" si="92"/>
        <v>1263600</v>
      </c>
      <c r="T203" s="4">
        <f t="shared" si="98"/>
        <v>631800</v>
      </c>
      <c r="U203" s="93">
        <f t="shared" ref="U203:U266" si="101">T203</f>
        <v>631800</v>
      </c>
      <c r="V203" s="34"/>
      <c r="W203" s="34"/>
      <c r="X203" s="4">
        <v>205335</v>
      </c>
      <c r="Y203" s="4">
        <v>205335</v>
      </c>
      <c r="Z203" s="4">
        <f t="shared" si="93"/>
        <v>631800</v>
      </c>
      <c r="AA203" s="93">
        <f t="shared" ref="AA203:AA266" si="102">M203*6.5/100</f>
        <v>164268</v>
      </c>
      <c r="AB203" s="90">
        <f t="shared" ref="AB203:AB266" si="103">N203*6.5/100</f>
        <v>123201</v>
      </c>
      <c r="AC203" s="4">
        <f t="shared" si="100"/>
        <v>82134</v>
      </c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</row>
    <row r="204" spans="1:61" s="37" customFormat="1" ht="27.6" customHeight="1" x14ac:dyDescent="0.2">
      <c r="A204" s="80">
        <v>194</v>
      </c>
      <c r="B204" s="58" t="s">
        <v>334</v>
      </c>
      <c r="C204" s="9" t="s">
        <v>213</v>
      </c>
      <c r="D204" s="71">
        <v>5179000</v>
      </c>
      <c r="E204" s="9"/>
      <c r="F204" s="9"/>
      <c r="G204" s="62"/>
      <c r="H204" s="54">
        <v>6.5</v>
      </c>
      <c r="I204" s="34"/>
      <c r="J204" s="34"/>
      <c r="K204" s="34">
        <v>5179000</v>
      </c>
      <c r="L204" s="8">
        <f t="shared" si="97"/>
        <v>5179000</v>
      </c>
      <c r="M204" s="8">
        <v>4143200</v>
      </c>
      <c r="N204" s="90">
        <f t="shared" si="99"/>
        <v>3107400</v>
      </c>
      <c r="O204" s="8"/>
      <c r="P204" s="61"/>
      <c r="Q204" s="8">
        <v>0</v>
      </c>
      <c r="R204" s="4">
        <v>0</v>
      </c>
      <c r="S204" s="90">
        <f t="shared" si="92"/>
        <v>2071600</v>
      </c>
      <c r="T204" s="4">
        <f t="shared" si="98"/>
        <v>1035800</v>
      </c>
      <c r="U204" s="93">
        <f t="shared" si="101"/>
        <v>1035800</v>
      </c>
      <c r="V204" s="34"/>
      <c r="W204" s="34"/>
      <c r="X204" s="4">
        <v>336635</v>
      </c>
      <c r="Y204" s="4">
        <v>336635</v>
      </c>
      <c r="Z204" s="4">
        <f t="shared" si="93"/>
        <v>1035800</v>
      </c>
      <c r="AA204" s="93">
        <f t="shared" si="102"/>
        <v>269308</v>
      </c>
      <c r="AB204" s="90">
        <f t="shared" si="103"/>
        <v>201981</v>
      </c>
      <c r="AC204" s="4">
        <f t="shared" si="100"/>
        <v>134654</v>
      </c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</row>
    <row r="205" spans="1:61" s="37" customFormat="1" ht="27.6" customHeight="1" x14ac:dyDescent="0.2">
      <c r="A205" s="9">
        <v>195</v>
      </c>
      <c r="B205" s="58" t="s">
        <v>334</v>
      </c>
      <c r="C205" s="9" t="s">
        <v>213</v>
      </c>
      <c r="D205" s="71">
        <v>37382000</v>
      </c>
      <c r="E205" s="9"/>
      <c r="F205" s="9"/>
      <c r="G205" s="62"/>
      <c r="H205" s="54">
        <v>6.5</v>
      </c>
      <c r="I205" s="34"/>
      <c r="J205" s="34"/>
      <c r="K205" s="34">
        <v>37382000</v>
      </c>
      <c r="L205" s="8">
        <f t="shared" si="97"/>
        <v>37382000</v>
      </c>
      <c r="M205" s="8">
        <v>29905600</v>
      </c>
      <c r="N205" s="90">
        <f t="shared" si="99"/>
        <v>22429200</v>
      </c>
      <c r="O205" s="8"/>
      <c r="P205" s="61"/>
      <c r="Q205" s="8">
        <v>0</v>
      </c>
      <c r="R205" s="4">
        <v>0</v>
      </c>
      <c r="S205" s="90">
        <f t="shared" si="92"/>
        <v>14952800</v>
      </c>
      <c r="T205" s="4">
        <f t="shared" si="98"/>
        <v>7476400</v>
      </c>
      <c r="U205" s="93">
        <f t="shared" si="101"/>
        <v>7476400</v>
      </c>
      <c r="V205" s="34"/>
      <c r="W205" s="34"/>
      <c r="X205" s="4">
        <v>2429830</v>
      </c>
      <c r="Y205" s="4">
        <v>2429830</v>
      </c>
      <c r="Z205" s="4">
        <f t="shared" si="93"/>
        <v>7476400</v>
      </c>
      <c r="AA205" s="93">
        <f t="shared" si="102"/>
        <v>1943864</v>
      </c>
      <c r="AB205" s="90">
        <f t="shared" si="103"/>
        <v>1457898</v>
      </c>
      <c r="AC205" s="4">
        <f t="shared" si="100"/>
        <v>971932</v>
      </c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</row>
    <row r="206" spans="1:61" s="37" customFormat="1" ht="27.6" customHeight="1" x14ac:dyDescent="0.2">
      <c r="A206" s="80">
        <v>196</v>
      </c>
      <c r="B206" s="58" t="s">
        <v>334</v>
      </c>
      <c r="C206" s="9" t="s">
        <v>213</v>
      </c>
      <c r="D206" s="71">
        <v>2219000</v>
      </c>
      <c r="E206" s="9"/>
      <c r="F206" s="9"/>
      <c r="G206" s="62"/>
      <c r="H206" s="54">
        <v>6.5</v>
      </c>
      <c r="I206" s="34"/>
      <c r="J206" s="34"/>
      <c r="K206" s="34">
        <v>2219000</v>
      </c>
      <c r="L206" s="8">
        <f t="shared" si="97"/>
        <v>2219000</v>
      </c>
      <c r="M206" s="8">
        <v>1775200</v>
      </c>
      <c r="N206" s="90">
        <f t="shared" si="99"/>
        <v>1331400</v>
      </c>
      <c r="O206" s="8"/>
      <c r="P206" s="61"/>
      <c r="Q206" s="8">
        <v>0</v>
      </c>
      <c r="R206" s="4">
        <v>0</v>
      </c>
      <c r="S206" s="90">
        <f t="shared" si="92"/>
        <v>887600</v>
      </c>
      <c r="T206" s="4">
        <f t="shared" si="98"/>
        <v>443800</v>
      </c>
      <c r="U206" s="93">
        <f t="shared" si="101"/>
        <v>443800</v>
      </c>
      <c r="V206" s="34"/>
      <c r="W206" s="34"/>
      <c r="X206" s="4">
        <v>144235</v>
      </c>
      <c r="Y206" s="4">
        <v>144235</v>
      </c>
      <c r="Z206" s="4">
        <f t="shared" si="93"/>
        <v>443800</v>
      </c>
      <c r="AA206" s="93">
        <f t="shared" si="102"/>
        <v>115388</v>
      </c>
      <c r="AB206" s="90">
        <f t="shared" si="103"/>
        <v>86541</v>
      </c>
      <c r="AC206" s="4">
        <f t="shared" si="100"/>
        <v>57694</v>
      </c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</row>
    <row r="207" spans="1:61" s="37" customFormat="1" ht="27.6" customHeight="1" x14ac:dyDescent="0.2">
      <c r="A207" s="9">
        <v>197</v>
      </c>
      <c r="B207" s="58" t="s">
        <v>334</v>
      </c>
      <c r="C207" s="9" t="s">
        <v>213</v>
      </c>
      <c r="D207" s="71">
        <v>4246000</v>
      </c>
      <c r="E207" s="9"/>
      <c r="F207" s="9"/>
      <c r="G207" s="62"/>
      <c r="H207" s="54">
        <v>6.5</v>
      </c>
      <c r="I207" s="34"/>
      <c r="J207" s="34"/>
      <c r="K207" s="34">
        <v>4246000</v>
      </c>
      <c r="L207" s="8">
        <f t="shared" si="97"/>
        <v>4246000</v>
      </c>
      <c r="M207" s="8">
        <v>3396800</v>
      </c>
      <c r="N207" s="90">
        <f t="shared" si="99"/>
        <v>2547600</v>
      </c>
      <c r="O207" s="8"/>
      <c r="P207" s="61"/>
      <c r="Q207" s="8">
        <v>0</v>
      </c>
      <c r="R207" s="4">
        <v>0</v>
      </c>
      <c r="S207" s="90">
        <f t="shared" si="92"/>
        <v>1698400</v>
      </c>
      <c r="T207" s="4">
        <f t="shared" si="98"/>
        <v>849200</v>
      </c>
      <c r="U207" s="93">
        <f t="shared" si="101"/>
        <v>849200</v>
      </c>
      <c r="V207" s="34"/>
      <c r="W207" s="34"/>
      <c r="X207" s="4">
        <v>275990</v>
      </c>
      <c r="Y207" s="4">
        <v>275990</v>
      </c>
      <c r="Z207" s="4">
        <f t="shared" si="93"/>
        <v>849200</v>
      </c>
      <c r="AA207" s="93">
        <f t="shared" si="102"/>
        <v>220792</v>
      </c>
      <c r="AB207" s="90">
        <f t="shared" si="103"/>
        <v>165594</v>
      </c>
      <c r="AC207" s="4">
        <f t="shared" si="100"/>
        <v>110396</v>
      </c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</row>
    <row r="208" spans="1:61" s="37" customFormat="1" ht="27.6" customHeight="1" x14ac:dyDescent="0.2">
      <c r="A208" s="80">
        <v>198</v>
      </c>
      <c r="B208" s="58" t="s">
        <v>335</v>
      </c>
      <c r="C208" s="9" t="s">
        <v>213</v>
      </c>
      <c r="D208" s="71">
        <v>35373000</v>
      </c>
      <c r="E208" s="9"/>
      <c r="F208" s="9"/>
      <c r="G208" s="62"/>
      <c r="H208" s="54">
        <v>6.5</v>
      </c>
      <c r="I208" s="34"/>
      <c r="J208" s="34"/>
      <c r="K208" s="34">
        <v>35373000</v>
      </c>
      <c r="L208" s="8">
        <f t="shared" si="97"/>
        <v>35373000</v>
      </c>
      <c r="M208" s="8">
        <v>28298400</v>
      </c>
      <c r="N208" s="90">
        <f t="shared" si="99"/>
        <v>21223800</v>
      </c>
      <c r="O208" s="8"/>
      <c r="P208" s="61"/>
      <c r="Q208" s="8">
        <v>0</v>
      </c>
      <c r="R208" s="4">
        <v>0</v>
      </c>
      <c r="S208" s="90">
        <f t="shared" si="92"/>
        <v>14149200</v>
      </c>
      <c r="T208" s="4">
        <f t="shared" si="98"/>
        <v>7074600</v>
      </c>
      <c r="U208" s="93">
        <f t="shared" si="101"/>
        <v>7074600</v>
      </c>
      <c r="V208" s="34"/>
      <c r="W208" s="34"/>
      <c r="X208" s="4">
        <v>2299245</v>
      </c>
      <c r="Y208" s="4">
        <v>2299245</v>
      </c>
      <c r="Z208" s="4">
        <f t="shared" si="93"/>
        <v>7074600</v>
      </c>
      <c r="AA208" s="93">
        <f t="shared" si="102"/>
        <v>1839396</v>
      </c>
      <c r="AB208" s="90">
        <f t="shared" si="103"/>
        <v>1379547</v>
      </c>
      <c r="AC208" s="4">
        <f t="shared" si="100"/>
        <v>919698</v>
      </c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</row>
    <row r="209" spans="1:61" s="37" customFormat="1" ht="27.6" customHeight="1" x14ac:dyDescent="0.2">
      <c r="A209" s="9">
        <v>199</v>
      </c>
      <c r="B209" s="58" t="s">
        <v>336</v>
      </c>
      <c r="C209" s="9" t="s">
        <v>213</v>
      </c>
      <c r="D209" s="71">
        <v>11568000</v>
      </c>
      <c r="E209" s="9"/>
      <c r="F209" s="9"/>
      <c r="G209" s="62"/>
      <c r="H209" s="54">
        <v>6.5</v>
      </c>
      <c r="I209" s="34"/>
      <c r="J209" s="34"/>
      <c r="K209" s="34">
        <v>11568000</v>
      </c>
      <c r="L209" s="8">
        <f t="shared" si="97"/>
        <v>11568000</v>
      </c>
      <c r="M209" s="8">
        <v>9254400</v>
      </c>
      <c r="N209" s="90">
        <f t="shared" si="99"/>
        <v>6940800</v>
      </c>
      <c r="O209" s="8"/>
      <c r="P209" s="61"/>
      <c r="Q209" s="8">
        <v>0</v>
      </c>
      <c r="R209" s="4">
        <v>0</v>
      </c>
      <c r="S209" s="90">
        <f t="shared" si="92"/>
        <v>4627200</v>
      </c>
      <c r="T209" s="4">
        <f t="shared" si="98"/>
        <v>2313600</v>
      </c>
      <c r="U209" s="93">
        <f t="shared" si="101"/>
        <v>2313600</v>
      </c>
      <c r="V209" s="34"/>
      <c r="W209" s="34"/>
      <c r="X209" s="4">
        <v>751920</v>
      </c>
      <c r="Y209" s="4">
        <v>751920</v>
      </c>
      <c r="Z209" s="4">
        <f t="shared" si="93"/>
        <v>2313600</v>
      </c>
      <c r="AA209" s="93">
        <f t="shared" si="102"/>
        <v>601536</v>
      </c>
      <c r="AB209" s="90">
        <f t="shared" si="103"/>
        <v>451152</v>
      </c>
      <c r="AC209" s="4">
        <f t="shared" si="100"/>
        <v>300768</v>
      </c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</row>
    <row r="210" spans="1:61" s="37" customFormat="1" ht="27.6" customHeight="1" x14ac:dyDescent="0.2">
      <c r="A210" s="80">
        <v>200</v>
      </c>
      <c r="B210" s="58" t="s">
        <v>336</v>
      </c>
      <c r="C210" s="9" t="s">
        <v>213</v>
      </c>
      <c r="D210" s="71">
        <v>39225000</v>
      </c>
      <c r="E210" s="9"/>
      <c r="F210" s="9"/>
      <c r="G210" s="62"/>
      <c r="H210" s="54">
        <v>6.5</v>
      </c>
      <c r="I210" s="34"/>
      <c r="J210" s="34"/>
      <c r="K210" s="34">
        <v>39225000</v>
      </c>
      <c r="L210" s="8">
        <f t="shared" si="97"/>
        <v>39225000</v>
      </c>
      <c r="M210" s="8">
        <v>31380000</v>
      </c>
      <c r="N210" s="90">
        <f t="shared" si="99"/>
        <v>23535000</v>
      </c>
      <c r="O210" s="8"/>
      <c r="P210" s="61"/>
      <c r="Q210" s="8">
        <v>0</v>
      </c>
      <c r="R210" s="4">
        <v>0</v>
      </c>
      <c r="S210" s="90">
        <f t="shared" si="92"/>
        <v>15690000</v>
      </c>
      <c r="T210" s="4">
        <f t="shared" si="98"/>
        <v>7845000</v>
      </c>
      <c r="U210" s="93">
        <f t="shared" si="101"/>
        <v>7845000</v>
      </c>
      <c r="V210" s="34"/>
      <c r="W210" s="34"/>
      <c r="X210" s="4">
        <v>2549625</v>
      </c>
      <c r="Y210" s="4">
        <v>2549625</v>
      </c>
      <c r="Z210" s="4">
        <f t="shared" si="93"/>
        <v>7845000</v>
      </c>
      <c r="AA210" s="93">
        <f t="shared" si="102"/>
        <v>2039700</v>
      </c>
      <c r="AB210" s="90">
        <f t="shared" si="103"/>
        <v>1529775</v>
      </c>
      <c r="AC210" s="4">
        <f t="shared" si="100"/>
        <v>1019850</v>
      </c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</row>
    <row r="211" spans="1:61" s="37" customFormat="1" ht="27.6" customHeight="1" x14ac:dyDescent="0.2">
      <c r="A211" s="9">
        <v>201</v>
      </c>
      <c r="B211" s="58" t="s">
        <v>336</v>
      </c>
      <c r="C211" s="9" t="s">
        <v>213</v>
      </c>
      <c r="D211" s="71">
        <v>26386000</v>
      </c>
      <c r="E211" s="9"/>
      <c r="F211" s="9"/>
      <c r="G211" s="62"/>
      <c r="H211" s="54">
        <v>6.5</v>
      </c>
      <c r="I211" s="34"/>
      <c r="J211" s="34"/>
      <c r="K211" s="34">
        <v>26386000</v>
      </c>
      <c r="L211" s="8">
        <f t="shared" si="97"/>
        <v>26386000</v>
      </c>
      <c r="M211" s="8">
        <v>21108800</v>
      </c>
      <c r="N211" s="90">
        <f t="shared" si="99"/>
        <v>15831600</v>
      </c>
      <c r="O211" s="8"/>
      <c r="P211" s="61"/>
      <c r="Q211" s="8">
        <v>0</v>
      </c>
      <c r="R211" s="4">
        <v>0</v>
      </c>
      <c r="S211" s="90">
        <f t="shared" si="92"/>
        <v>10554400</v>
      </c>
      <c r="T211" s="4">
        <f t="shared" si="98"/>
        <v>5277200</v>
      </c>
      <c r="U211" s="93">
        <f t="shared" si="101"/>
        <v>5277200</v>
      </c>
      <c r="V211" s="34"/>
      <c r="W211" s="34"/>
      <c r="X211" s="4">
        <v>1715090</v>
      </c>
      <c r="Y211" s="4">
        <v>1715090</v>
      </c>
      <c r="Z211" s="4">
        <f t="shared" si="93"/>
        <v>5277200</v>
      </c>
      <c r="AA211" s="93">
        <f t="shared" si="102"/>
        <v>1372072</v>
      </c>
      <c r="AB211" s="90">
        <f t="shared" si="103"/>
        <v>1029054</v>
      </c>
      <c r="AC211" s="4">
        <f t="shared" si="100"/>
        <v>686036</v>
      </c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</row>
    <row r="212" spans="1:61" s="37" customFormat="1" ht="27.6" customHeight="1" x14ac:dyDescent="0.2">
      <c r="A212" s="80">
        <v>202</v>
      </c>
      <c r="B212" s="58" t="s">
        <v>337</v>
      </c>
      <c r="C212" s="9" t="s">
        <v>213</v>
      </c>
      <c r="D212" s="71">
        <v>17456000</v>
      </c>
      <c r="E212" s="9"/>
      <c r="F212" s="9"/>
      <c r="G212" s="62"/>
      <c r="H212" s="54">
        <v>6.5</v>
      </c>
      <c r="I212" s="34"/>
      <c r="J212" s="34"/>
      <c r="K212" s="34">
        <v>17456000</v>
      </c>
      <c r="L212" s="8">
        <f t="shared" si="97"/>
        <v>17456000</v>
      </c>
      <c r="M212" s="8">
        <v>13964800</v>
      </c>
      <c r="N212" s="90">
        <f t="shared" si="99"/>
        <v>10473600</v>
      </c>
      <c r="O212" s="8"/>
      <c r="P212" s="61"/>
      <c r="Q212" s="8">
        <v>0</v>
      </c>
      <c r="R212" s="4">
        <v>0</v>
      </c>
      <c r="S212" s="90">
        <f t="shared" si="92"/>
        <v>6982400</v>
      </c>
      <c r="T212" s="4">
        <f t="shared" si="98"/>
        <v>3491200</v>
      </c>
      <c r="U212" s="93">
        <f t="shared" si="101"/>
        <v>3491200</v>
      </c>
      <c r="V212" s="34"/>
      <c r="W212" s="34"/>
      <c r="X212" s="4">
        <v>1134640</v>
      </c>
      <c r="Y212" s="4">
        <v>1134640</v>
      </c>
      <c r="Z212" s="4">
        <f t="shared" si="93"/>
        <v>3491200</v>
      </c>
      <c r="AA212" s="93">
        <f t="shared" si="102"/>
        <v>907712</v>
      </c>
      <c r="AB212" s="90">
        <f t="shared" si="103"/>
        <v>680784</v>
      </c>
      <c r="AC212" s="4">
        <f t="shared" si="100"/>
        <v>453856</v>
      </c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</row>
    <row r="213" spans="1:61" s="37" customFormat="1" ht="27.6" customHeight="1" x14ac:dyDescent="0.2">
      <c r="A213" s="9">
        <v>203</v>
      </c>
      <c r="B213" s="58" t="s">
        <v>330</v>
      </c>
      <c r="C213" s="9" t="s">
        <v>213</v>
      </c>
      <c r="D213" s="71">
        <v>1589000</v>
      </c>
      <c r="E213" s="9"/>
      <c r="F213" s="9"/>
      <c r="G213" s="62"/>
      <c r="H213" s="54">
        <v>6.5</v>
      </c>
      <c r="I213" s="34"/>
      <c r="J213" s="34"/>
      <c r="K213" s="34">
        <v>1589000</v>
      </c>
      <c r="L213" s="8">
        <f t="shared" si="97"/>
        <v>1589000</v>
      </c>
      <c r="M213" s="8">
        <v>1271200</v>
      </c>
      <c r="N213" s="90">
        <f t="shared" si="99"/>
        <v>953400</v>
      </c>
      <c r="O213" s="8"/>
      <c r="P213" s="61"/>
      <c r="Q213" s="8">
        <v>0</v>
      </c>
      <c r="R213" s="4">
        <v>0</v>
      </c>
      <c r="S213" s="90">
        <f t="shared" si="92"/>
        <v>635600</v>
      </c>
      <c r="T213" s="4">
        <f t="shared" si="98"/>
        <v>317800</v>
      </c>
      <c r="U213" s="93">
        <f t="shared" si="101"/>
        <v>317800</v>
      </c>
      <c r="V213" s="34"/>
      <c r="W213" s="34"/>
      <c r="X213" s="4">
        <v>103285</v>
      </c>
      <c r="Y213" s="4">
        <v>103285</v>
      </c>
      <c r="Z213" s="4">
        <f t="shared" si="93"/>
        <v>317800</v>
      </c>
      <c r="AA213" s="93">
        <f t="shared" si="102"/>
        <v>82628</v>
      </c>
      <c r="AB213" s="90">
        <f t="shared" si="103"/>
        <v>61971</v>
      </c>
      <c r="AC213" s="4">
        <f t="shared" si="100"/>
        <v>41314</v>
      </c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</row>
    <row r="214" spans="1:61" s="37" customFormat="1" ht="27.6" customHeight="1" x14ac:dyDescent="0.2">
      <c r="A214" s="80">
        <v>204</v>
      </c>
      <c r="B214" s="58" t="s">
        <v>330</v>
      </c>
      <c r="C214" s="9" t="s">
        <v>213</v>
      </c>
      <c r="D214" s="71">
        <v>16436000</v>
      </c>
      <c r="E214" s="9"/>
      <c r="F214" s="9"/>
      <c r="G214" s="62"/>
      <c r="H214" s="54">
        <v>6.5</v>
      </c>
      <c r="I214" s="34"/>
      <c r="J214" s="34"/>
      <c r="K214" s="34">
        <v>16436000</v>
      </c>
      <c r="L214" s="8">
        <f t="shared" si="97"/>
        <v>16436000</v>
      </c>
      <c r="M214" s="8">
        <v>13148800</v>
      </c>
      <c r="N214" s="90">
        <f t="shared" si="99"/>
        <v>9861600</v>
      </c>
      <c r="O214" s="8"/>
      <c r="P214" s="61"/>
      <c r="Q214" s="8">
        <v>0</v>
      </c>
      <c r="R214" s="4">
        <v>0</v>
      </c>
      <c r="S214" s="90">
        <f t="shared" si="92"/>
        <v>6574400</v>
      </c>
      <c r="T214" s="4">
        <f t="shared" si="98"/>
        <v>3287200</v>
      </c>
      <c r="U214" s="93">
        <f t="shared" si="101"/>
        <v>3287200</v>
      </c>
      <c r="V214" s="34"/>
      <c r="W214" s="34"/>
      <c r="X214" s="4">
        <v>1068340</v>
      </c>
      <c r="Y214" s="4">
        <v>1068340</v>
      </c>
      <c r="Z214" s="4">
        <f t="shared" si="93"/>
        <v>3287200</v>
      </c>
      <c r="AA214" s="93">
        <f t="shared" si="102"/>
        <v>854672</v>
      </c>
      <c r="AB214" s="90">
        <f t="shared" si="103"/>
        <v>641004</v>
      </c>
      <c r="AC214" s="4">
        <f t="shared" si="100"/>
        <v>427336</v>
      </c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</row>
    <row r="215" spans="1:61" s="37" customFormat="1" ht="27.6" customHeight="1" x14ac:dyDescent="0.2">
      <c r="A215" s="9">
        <v>205</v>
      </c>
      <c r="B215" s="58" t="s">
        <v>330</v>
      </c>
      <c r="C215" s="9" t="s">
        <v>213</v>
      </c>
      <c r="D215" s="71">
        <v>3013000</v>
      </c>
      <c r="E215" s="9"/>
      <c r="F215" s="9"/>
      <c r="G215" s="62"/>
      <c r="H215" s="54">
        <v>6.5</v>
      </c>
      <c r="I215" s="34"/>
      <c r="J215" s="34"/>
      <c r="K215" s="34">
        <v>3013000</v>
      </c>
      <c r="L215" s="8">
        <f t="shared" si="97"/>
        <v>3013000</v>
      </c>
      <c r="M215" s="8">
        <v>2410400</v>
      </c>
      <c r="N215" s="90">
        <f t="shared" si="99"/>
        <v>1807800</v>
      </c>
      <c r="O215" s="8"/>
      <c r="P215" s="61"/>
      <c r="Q215" s="8">
        <v>0</v>
      </c>
      <c r="R215" s="4">
        <v>0</v>
      </c>
      <c r="S215" s="90">
        <f t="shared" si="92"/>
        <v>1205200</v>
      </c>
      <c r="T215" s="4">
        <f t="shared" si="98"/>
        <v>602600</v>
      </c>
      <c r="U215" s="93">
        <f t="shared" si="101"/>
        <v>602600</v>
      </c>
      <c r="V215" s="34"/>
      <c r="W215" s="34"/>
      <c r="X215" s="4">
        <v>195845</v>
      </c>
      <c r="Y215" s="4">
        <v>195845</v>
      </c>
      <c r="Z215" s="4">
        <f t="shared" si="93"/>
        <v>602600</v>
      </c>
      <c r="AA215" s="93">
        <f t="shared" si="102"/>
        <v>156676</v>
      </c>
      <c r="AB215" s="90">
        <f t="shared" si="103"/>
        <v>117507</v>
      </c>
      <c r="AC215" s="4">
        <f t="shared" si="100"/>
        <v>78338</v>
      </c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</row>
    <row r="216" spans="1:61" s="37" customFormat="1" ht="27.6" customHeight="1" x14ac:dyDescent="0.2">
      <c r="A216" s="80">
        <v>206</v>
      </c>
      <c r="B216" s="58" t="s">
        <v>338</v>
      </c>
      <c r="C216" s="9" t="s">
        <v>213</v>
      </c>
      <c r="D216" s="71">
        <v>103592000</v>
      </c>
      <c r="E216" s="9"/>
      <c r="F216" s="9"/>
      <c r="G216" s="62"/>
      <c r="H216" s="54">
        <v>6.5</v>
      </c>
      <c r="I216" s="34"/>
      <c r="J216" s="34"/>
      <c r="K216" s="34">
        <v>103592000</v>
      </c>
      <c r="L216" s="8">
        <f t="shared" si="97"/>
        <v>103592000</v>
      </c>
      <c r="M216" s="8">
        <v>82873600</v>
      </c>
      <c r="N216" s="90">
        <f t="shared" si="99"/>
        <v>62155200</v>
      </c>
      <c r="O216" s="8"/>
      <c r="P216" s="61"/>
      <c r="Q216" s="8">
        <v>0</v>
      </c>
      <c r="R216" s="4">
        <v>0</v>
      </c>
      <c r="S216" s="90">
        <f t="shared" si="92"/>
        <v>41436800</v>
      </c>
      <c r="T216" s="4">
        <f t="shared" si="98"/>
        <v>20718400</v>
      </c>
      <c r="U216" s="93">
        <f t="shared" si="101"/>
        <v>20718400</v>
      </c>
      <c r="V216" s="34"/>
      <c r="W216" s="34"/>
      <c r="X216" s="4">
        <v>6733480</v>
      </c>
      <c r="Y216" s="4">
        <v>6733480</v>
      </c>
      <c r="Z216" s="4">
        <f t="shared" si="93"/>
        <v>20718400</v>
      </c>
      <c r="AA216" s="93">
        <f t="shared" si="102"/>
        <v>5386784</v>
      </c>
      <c r="AB216" s="90">
        <f t="shared" si="103"/>
        <v>4040088</v>
      </c>
      <c r="AC216" s="4">
        <f t="shared" si="100"/>
        <v>2693392</v>
      </c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</row>
    <row r="217" spans="1:61" s="37" customFormat="1" ht="27.6" customHeight="1" x14ac:dyDescent="0.2">
      <c r="A217" s="9">
        <v>207</v>
      </c>
      <c r="B217" s="58" t="s">
        <v>338</v>
      </c>
      <c r="C217" s="9" t="s">
        <v>213</v>
      </c>
      <c r="D217" s="71">
        <v>71792000</v>
      </c>
      <c r="E217" s="9"/>
      <c r="F217" s="9"/>
      <c r="G217" s="62"/>
      <c r="H217" s="54">
        <v>6.5</v>
      </c>
      <c r="I217" s="34"/>
      <c r="J217" s="34"/>
      <c r="K217" s="34">
        <v>71792000</v>
      </c>
      <c r="L217" s="8">
        <f t="shared" si="97"/>
        <v>71792000</v>
      </c>
      <c r="M217" s="8">
        <v>57433600</v>
      </c>
      <c r="N217" s="90">
        <f t="shared" si="99"/>
        <v>43075200</v>
      </c>
      <c r="O217" s="8"/>
      <c r="P217" s="61"/>
      <c r="Q217" s="8">
        <v>0</v>
      </c>
      <c r="R217" s="4">
        <v>0</v>
      </c>
      <c r="S217" s="90">
        <f t="shared" si="92"/>
        <v>28716800</v>
      </c>
      <c r="T217" s="4">
        <f t="shared" si="98"/>
        <v>14358400</v>
      </c>
      <c r="U217" s="93">
        <f t="shared" si="101"/>
        <v>14358400</v>
      </c>
      <c r="V217" s="34"/>
      <c r="W217" s="34"/>
      <c r="X217" s="4">
        <v>4666480</v>
      </c>
      <c r="Y217" s="4">
        <v>4666480</v>
      </c>
      <c r="Z217" s="4">
        <f t="shared" si="93"/>
        <v>14358400</v>
      </c>
      <c r="AA217" s="93">
        <f t="shared" si="102"/>
        <v>3733184</v>
      </c>
      <c r="AB217" s="90">
        <f t="shared" si="103"/>
        <v>2799888</v>
      </c>
      <c r="AC217" s="4">
        <f t="shared" si="100"/>
        <v>1866592</v>
      </c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</row>
    <row r="218" spans="1:61" s="37" customFormat="1" ht="27.6" customHeight="1" x14ac:dyDescent="0.2">
      <c r="A218" s="80">
        <v>208</v>
      </c>
      <c r="B218" s="58" t="s">
        <v>323</v>
      </c>
      <c r="C218" s="9" t="s">
        <v>213</v>
      </c>
      <c r="D218" s="71">
        <v>13784000</v>
      </c>
      <c r="E218" s="9"/>
      <c r="F218" s="9"/>
      <c r="G218" s="62"/>
      <c r="H218" s="54">
        <v>6.5</v>
      </c>
      <c r="I218" s="34"/>
      <c r="J218" s="34"/>
      <c r="K218" s="34">
        <v>13784000</v>
      </c>
      <c r="L218" s="8">
        <f t="shared" si="97"/>
        <v>13784000</v>
      </c>
      <c r="M218" s="8">
        <v>11027200</v>
      </c>
      <c r="N218" s="90">
        <f t="shared" si="99"/>
        <v>8270400</v>
      </c>
      <c r="O218" s="8"/>
      <c r="P218" s="61"/>
      <c r="Q218" s="8">
        <v>0</v>
      </c>
      <c r="R218" s="4">
        <v>0</v>
      </c>
      <c r="S218" s="90">
        <f t="shared" si="92"/>
        <v>5513600</v>
      </c>
      <c r="T218" s="4">
        <f t="shared" si="98"/>
        <v>2756800</v>
      </c>
      <c r="U218" s="93">
        <f t="shared" si="101"/>
        <v>2756800</v>
      </c>
      <c r="V218" s="34"/>
      <c r="W218" s="34"/>
      <c r="X218" s="4">
        <v>895960</v>
      </c>
      <c r="Y218" s="4">
        <v>895960</v>
      </c>
      <c r="Z218" s="4">
        <f t="shared" si="93"/>
        <v>2756800</v>
      </c>
      <c r="AA218" s="93">
        <f t="shared" si="102"/>
        <v>716768</v>
      </c>
      <c r="AB218" s="90">
        <f t="shared" si="103"/>
        <v>537576</v>
      </c>
      <c r="AC218" s="4">
        <f t="shared" si="100"/>
        <v>358384</v>
      </c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</row>
    <row r="219" spans="1:61" s="37" customFormat="1" ht="27.6" customHeight="1" x14ac:dyDescent="0.2">
      <c r="A219" s="9">
        <v>209</v>
      </c>
      <c r="B219" s="58" t="s">
        <v>339</v>
      </c>
      <c r="C219" s="9" t="s">
        <v>213</v>
      </c>
      <c r="D219" s="71">
        <v>34466000</v>
      </c>
      <c r="E219" s="9"/>
      <c r="F219" s="9"/>
      <c r="G219" s="62"/>
      <c r="H219" s="54">
        <v>6.5</v>
      </c>
      <c r="I219" s="34"/>
      <c r="J219" s="34"/>
      <c r="K219" s="34">
        <v>34466000</v>
      </c>
      <c r="L219" s="8">
        <f t="shared" si="97"/>
        <v>34466000</v>
      </c>
      <c r="M219" s="8">
        <v>27572800</v>
      </c>
      <c r="N219" s="90">
        <f t="shared" si="99"/>
        <v>20679600</v>
      </c>
      <c r="O219" s="8"/>
      <c r="P219" s="61"/>
      <c r="Q219" s="8">
        <v>0</v>
      </c>
      <c r="R219" s="4">
        <v>0</v>
      </c>
      <c r="S219" s="90">
        <f t="shared" ref="S219:S282" si="104">N219-U219</f>
        <v>13786400</v>
      </c>
      <c r="T219" s="4">
        <f t="shared" si="98"/>
        <v>6893200</v>
      </c>
      <c r="U219" s="93">
        <f t="shared" si="101"/>
        <v>6893200</v>
      </c>
      <c r="V219" s="34"/>
      <c r="W219" s="34"/>
      <c r="X219" s="4">
        <v>2240290</v>
      </c>
      <c r="Y219" s="4">
        <v>2240290</v>
      </c>
      <c r="Z219" s="4">
        <f t="shared" ref="Z219:Z282" si="105">U219</f>
        <v>6893200</v>
      </c>
      <c r="AA219" s="93">
        <f t="shared" si="102"/>
        <v>1792232</v>
      </c>
      <c r="AB219" s="90">
        <f t="shared" si="103"/>
        <v>1344174</v>
      </c>
      <c r="AC219" s="4">
        <f t="shared" si="100"/>
        <v>896116</v>
      </c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</row>
    <row r="220" spans="1:61" s="37" customFormat="1" ht="27.6" customHeight="1" x14ac:dyDescent="0.2">
      <c r="A220" s="80">
        <v>210</v>
      </c>
      <c r="B220" s="58" t="s">
        <v>339</v>
      </c>
      <c r="C220" s="9" t="s">
        <v>213</v>
      </c>
      <c r="D220" s="71">
        <v>38615000</v>
      </c>
      <c r="E220" s="9"/>
      <c r="F220" s="9"/>
      <c r="G220" s="62"/>
      <c r="H220" s="54">
        <v>6.5</v>
      </c>
      <c r="I220" s="34"/>
      <c r="J220" s="34"/>
      <c r="K220" s="34">
        <v>38615000</v>
      </c>
      <c r="L220" s="8">
        <f t="shared" si="97"/>
        <v>38615000</v>
      </c>
      <c r="M220" s="8">
        <v>30892000</v>
      </c>
      <c r="N220" s="90">
        <f t="shared" si="99"/>
        <v>23169000</v>
      </c>
      <c r="O220" s="8"/>
      <c r="P220" s="61"/>
      <c r="Q220" s="8">
        <v>0</v>
      </c>
      <c r="R220" s="4">
        <v>0</v>
      </c>
      <c r="S220" s="90">
        <f t="shared" si="104"/>
        <v>15446000</v>
      </c>
      <c r="T220" s="4">
        <f t="shared" si="98"/>
        <v>7723000</v>
      </c>
      <c r="U220" s="93">
        <f t="shared" si="101"/>
        <v>7723000</v>
      </c>
      <c r="V220" s="34"/>
      <c r="W220" s="34"/>
      <c r="X220" s="4">
        <v>2509975</v>
      </c>
      <c r="Y220" s="4">
        <v>2509975</v>
      </c>
      <c r="Z220" s="4">
        <f t="shared" si="105"/>
        <v>7723000</v>
      </c>
      <c r="AA220" s="93">
        <f t="shared" si="102"/>
        <v>2007980</v>
      </c>
      <c r="AB220" s="90">
        <f t="shared" si="103"/>
        <v>1505985</v>
      </c>
      <c r="AC220" s="4">
        <f t="shared" si="100"/>
        <v>1003990</v>
      </c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</row>
    <row r="221" spans="1:61" s="37" customFormat="1" ht="27.6" customHeight="1" x14ac:dyDescent="0.2">
      <c r="A221" s="9">
        <v>211</v>
      </c>
      <c r="B221" s="58" t="s">
        <v>331</v>
      </c>
      <c r="C221" s="9" t="s">
        <v>213</v>
      </c>
      <c r="D221" s="71">
        <v>27718000</v>
      </c>
      <c r="E221" s="9"/>
      <c r="F221" s="9"/>
      <c r="G221" s="62"/>
      <c r="H221" s="54">
        <v>6.5</v>
      </c>
      <c r="I221" s="34"/>
      <c r="J221" s="34"/>
      <c r="K221" s="34">
        <v>27718000</v>
      </c>
      <c r="L221" s="8">
        <f t="shared" si="97"/>
        <v>27718000</v>
      </c>
      <c r="M221" s="8">
        <v>22174400</v>
      </c>
      <c r="N221" s="90">
        <f t="shared" si="99"/>
        <v>16630800</v>
      </c>
      <c r="O221" s="8"/>
      <c r="P221" s="61"/>
      <c r="Q221" s="8">
        <v>0</v>
      </c>
      <c r="R221" s="4">
        <v>0</v>
      </c>
      <c r="S221" s="90">
        <f t="shared" si="104"/>
        <v>11087200</v>
      </c>
      <c r="T221" s="4">
        <f t="shared" si="98"/>
        <v>5543600</v>
      </c>
      <c r="U221" s="93">
        <f t="shared" si="101"/>
        <v>5543600</v>
      </c>
      <c r="V221" s="34"/>
      <c r="W221" s="34"/>
      <c r="X221" s="4">
        <v>1801670</v>
      </c>
      <c r="Y221" s="4">
        <v>1801670</v>
      </c>
      <c r="Z221" s="4">
        <f t="shared" si="105"/>
        <v>5543600</v>
      </c>
      <c r="AA221" s="93">
        <f t="shared" si="102"/>
        <v>1441336</v>
      </c>
      <c r="AB221" s="90">
        <f t="shared" si="103"/>
        <v>1081002</v>
      </c>
      <c r="AC221" s="4">
        <f t="shared" si="100"/>
        <v>720668</v>
      </c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</row>
    <row r="222" spans="1:61" s="37" customFormat="1" ht="27.6" customHeight="1" x14ac:dyDescent="0.2">
      <c r="A222" s="80">
        <v>212</v>
      </c>
      <c r="B222" s="58" t="s">
        <v>331</v>
      </c>
      <c r="C222" s="9" t="s">
        <v>213</v>
      </c>
      <c r="D222" s="71">
        <v>5761000</v>
      </c>
      <c r="E222" s="9"/>
      <c r="F222" s="9"/>
      <c r="G222" s="62"/>
      <c r="H222" s="54">
        <v>6.5</v>
      </c>
      <c r="I222" s="34"/>
      <c r="J222" s="34"/>
      <c r="K222" s="34">
        <v>5761000</v>
      </c>
      <c r="L222" s="8">
        <f t="shared" si="97"/>
        <v>5761000</v>
      </c>
      <c r="M222" s="8">
        <v>4608800</v>
      </c>
      <c r="N222" s="90">
        <f t="shared" si="99"/>
        <v>3456600</v>
      </c>
      <c r="O222" s="8"/>
      <c r="P222" s="61"/>
      <c r="Q222" s="8">
        <v>0</v>
      </c>
      <c r="R222" s="4">
        <v>0</v>
      </c>
      <c r="S222" s="90">
        <f t="shared" si="104"/>
        <v>2304400</v>
      </c>
      <c r="T222" s="4">
        <f t="shared" si="98"/>
        <v>1152200</v>
      </c>
      <c r="U222" s="93">
        <f t="shared" si="101"/>
        <v>1152200</v>
      </c>
      <c r="V222" s="34"/>
      <c r="W222" s="34"/>
      <c r="X222" s="4">
        <v>374465</v>
      </c>
      <c r="Y222" s="4">
        <v>374465</v>
      </c>
      <c r="Z222" s="4">
        <f t="shared" si="105"/>
        <v>1152200</v>
      </c>
      <c r="AA222" s="93">
        <f t="shared" si="102"/>
        <v>299572</v>
      </c>
      <c r="AB222" s="90">
        <f t="shared" si="103"/>
        <v>224679</v>
      </c>
      <c r="AC222" s="4">
        <f t="shared" si="100"/>
        <v>149786</v>
      </c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</row>
    <row r="223" spans="1:61" s="37" customFormat="1" ht="27.6" customHeight="1" x14ac:dyDescent="0.2">
      <c r="A223" s="9">
        <v>213</v>
      </c>
      <c r="B223" s="58" t="s">
        <v>331</v>
      </c>
      <c r="C223" s="9" t="s">
        <v>213</v>
      </c>
      <c r="D223" s="71">
        <v>2349000</v>
      </c>
      <c r="E223" s="9"/>
      <c r="F223" s="9"/>
      <c r="G223" s="62"/>
      <c r="H223" s="54">
        <v>6.5</v>
      </c>
      <c r="I223" s="34"/>
      <c r="J223" s="34"/>
      <c r="K223" s="34">
        <v>2349000</v>
      </c>
      <c r="L223" s="8">
        <f t="shared" si="97"/>
        <v>2349000</v>
      </c>
      <c r="M223" s="8">
        <v>1879200</v>
      </c>
      <c r="N223" s="90">
        <f t="shared" si="99"/>
        <v>1409400</v>
      </c>
      <c r="O223" s="8"/>
      <c r="P223" s="61"/>
      <c r="Q223" s="8">
        <v>0</v>
      </c>
      <c r="R223" s="4">
        <v>0</v>
      </c>
      <c r="S223" s="90">
        <f t="shared" si="104"/>
        <v>939600</v>
      </c>
      <c r="T223" s="4">
        <f t="shared" si="98"/>
        <v>469800</v>
      </c>
      <c r="U223" s="93">
        <f t="shared" si="101"/>
        <v>469800</v>
      </c>
      <c r="V223" s="34"/>
      <c r="W223" s="34"/>
      <c r="X223" s="4">
        <v>152685</v>
      </c>
      <c r="Y223" s="4">
        <v>152685</v>
      </c>
      <c r="Z223" s="4">
        <f t="shared" si="105"/>
        <v>469800</v>
      </c>
      <c r="AA223" s="93">
        <f t="shared" si="102"/>
        <v>122148</v>
      </c>
      <c r="AB223" s="90">
        <f t="shared" si="103"/>
        <v>91611</v>
      </c>
      <c r="AC223" s="4">
        <f t="shared" si="100"/>
        <v>61074</v>
      </c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</row>
    <row r="224" spans="1:61" s="37" customFormat="1" ht="27.6" customHeight="1" x14ac:dyDescent="0.2">
      <c r="A224" s="80">
        <v>214</v>
      </c>
      <c r="B224" s="58" t="s">
        <v>340</v>
      </c>
      <c r="C224" s="9" t="s">
        <v>213</v>
      </c>
      <c r="D224" s="71">
        <v>13508000</v>
      </c>
      <c r="E224" s="9"/>
      <c r="F224" s="9"/>
      <c r="G224" s="62"/>
      <c r="H224" s="54">
        <v>6.5</v>
      </c>
      <c r="I224" s="34"/>
      <c r="J224" s="34"/>
      <c r="K224" s="34">
        <v>13508000</v>
      </c>
      <c r="L224" s="8">
        <f t="shared" si="97"/>
        <v>13508000</v>
      </c>
      <c r="M224" s="8">
        <v>10806400</v>
      </c>
      <c r="N224" s="90">
        <f t="shared" si="99"/>
        <v>8104800</v>
      </c>
      <c r="O224" s="8"/>
      <c r="P224" s="61"/>
      <c r="Q224" s="8">
        <v>0</v>
      </c>
      <c r="R224" s="4">
        <v>0</v>
      </c>
      <c r="S224" s="90">
        <f t="shared" si="104"/>
        <v>5403200</v>
      </c>
      <c r="T224" s="4">
        <f t="shared" si="98"/>
        <v>2701600</v>
      </c>
      <c r="U224" s="93">
        <f t="shared" si="101"/>
        <v>2701600</v>
      </c>
      <c r="V224" s="34"/>
      <c r="W224" s="34"/>
      <c r="X224" s="4">
        <v>878020</v>
      </c>
      <c r="Y224" s="4">
        <v>878020</v>
      </c>
      <c r="Z224" s="4">
        <f t="shared" si="105"/>
        <v>2701600</v>
      </c>
      <c r="AA224" s="93">
        <f t="shared" si="102"/>
        <v>702416</v>
      </c>
      <c r="AB224" s="90">
        <f t="shared" si="103"/>
        <v>526812</v>
      </c>
      <c r="AC224" s="4">
        <f t="shared" si="100"/>
        <v>351208</v>
      </c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</row>
    <row r="225" spans="1:61" s="37" customFormat="1" ht="27.6" customHeight="1" x14ac:dyDescent="0.2">
      <c r="A225" s="9">
        <v>215</v>
      </c>
      <c r="B225" s="58" t="s">
        <v>340</v>
      </c>
      <c r="C225" s="9" t="s">
        <v>213</v>
      </c>
      <c r="D225" s="71">
        <v>19111000</v>
      </c>
      <c r="E225" s="9"/>
      <c r="F225" s="9"/>
      <c r="G225" s="62"/>
      <c r="H225" s="54">
        <v>6.5</v>
      </c>
      <c r="I225" s="34"/>
      <c r="J225" s="34"/>
      <c r="K225" s="34">
        <v>19111000</v>
      </c>
      <c r="L225" s="8">
        <f t="shared" si="97"/>
        <v>19111000</v>
      </c>
      <c r="M225" s="8">
        <v>15288800</v>
      </c>
      <c r="N225" s="90">
        <f t="shared" si="99"/>
        <v>11466600</v>
      </c>
      <c r="O225" s="8"/>
      <c r="P225" s="61"/>
      <c r="Q225" s="8">
        <v>0</v>
      </c>
      <c r="R225" s="4">
        <v>0</v>
      </c>
      <c r="S225" s="90">
        <f t="shared" si="104"/>
        <v>7644400</v>
      </c>
      <c r="T225" s="4">
        <f t="shared" si="98"/>
        <v>3822200</v>
      </c>
      <c r="U225" s="93">
        <f t="shared" si="101"/>
        <v>3822200</v>
      </c>
      <c r="V225" s="34"/>
      <c r="W225" s="34"/>
      <c r="X225" s="4">
        <v>1242215</v>
      </c>
      <c r="Y225" s="4">
        <v>1242215</v>
      </c>
      <c r="Z225" s="4">
        <f t="shared" si="105"/>
        <v>3822200</v>
      </c>
      <c r="AA225" s="93">
        <f t="shared" si="102"/>
        <v>993772</v>
      </c>
      <c r="AB225" s="90">
        <f t="shared" si="103"/>
        <v>745329</v>
      </c>
      <c r="AC225" s="4">
        <f t="shared" si="100"/>
        <v>496886</v>
      </c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</row>
    <row r="226" spans="1:61" s="37" customFormat="1" ht="27.6" customHeight="1" x14ac:dyDescent="0.2">
      <c r="A226" s="80">
        <v>216</v>
      </c>
      <c r="B226" s="58" t="s">
        <v>340</v>
      </c>
      <c r="C226" s="9" t="s">
        <v>213</v>
      </c>
      <c r="D226" s="71">
        <v>8494000</v>
      </c>
      <c r="E226" s="9"/>
      <c r="F226" s="9"/>
      <c r="G226" s="62"/>
      <c r="H226" s="54">
        <v>6.5</v>
      </c>
      <c r="I226" s="34"/>
      <c r="J226" s="34"/>
      <c r="K226" s="34">
        <v>8494000</v>
      </c>
      <c r="L226" s="8">
        <f t="shared" si="97"/>
        <v>8494000</v>
      </c>
      <c r="M226" s="8">
        <v>6795200</v>
      </c>
      <c r="N226" s="90">
        <f t="shared" si="99"/>
        <v>5096400</v>
      </c>
      <c r="O226" s="8"/>
      <c r="P226" s="61"/>
      <c r="Q226" s="8">
        <v>0</v>
      </c>
      <c r="R226" s="4">
        <v>0</v>
      </c>
      <c r="S226" s="90">
        <f t="shared" si="104"/>
        <v>3397600</v>
      </c>
      <c r="T226" s="4">
        <f t="shared" si="98"/>
        <v>1698800</v>
      </c>
      <c r="U226" s="93">
        <f t="shared" si="101"/>
        <v>1698800</v>
      </c>
      <c r="V226" s="34"/>
      <c r="W226" s="34"/>
      <c r="X226" s="4">
        <v>552110</v>
      </c>
      <c r="Y226" s="4">
        <v>552110</v>
      </c>
      <c r="Z226" s="4">
        <f t="shared" si="105"/>
        <v>1698800</v>
      </c>
      <c r="AA226" s="93">
        <f t="shared" si="102"/>
        <v>441688</v>
      </c>
      <c r="AB226" s="90">
        <f t="shared" si="103"/>
        <v>331266</v>
      </c>
      <c r="AC226" s="4">
        <f t="shared" si="100"/>
        <v>220844</v>
      </c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</row>
    <row r="227" spans="1:61" s="37" customFormat="1" ht="27.6" customHeight="1" x14ac:dyDescent="0.2">
      <c r="A227" s="9">
        <v>217</v>
      </c>
      <c r="B227" s="58" t="s">
        <v>340</v>
      </c>
      <c r="C227" s="9" t="s">
        <v>213</v>
      </c>
      <c r="D227" s="71">
        <v>5940000</v>
      </c>
      <c r="E227" s="9"/>
      <c r="F227" s="9"/>
      <c r="G227" s="62"/>
      <c r="H227" s="54">
        <v>6.5</v>
      </c>
      <c r="I227" s="34"/>
      <c r="J227" s="34"/>
      <c r="K227" s="34">
        <v>5940000</v>
      </c>
      <c r="L227" s="8">
        <f t="shared" si="97"/>
        <v>5940000</v>
      </c>
      <c r="M227" s="8">
        <v>4752000</v>
      </c>
      <c r="N227" s="90">
        <f t="shared" si="99"/>
        <v>3564000</v>
      </c>
      <c r="O227" s="8"/>
      <c r="P227" s="61"/>
      <c r="Q227" s="8">
        <v>0</v>
      </c>
      <c r="R227" s="4">
        <v>0</v>
      </c>
      <c r="S227" s="90">
        <f t="shared" si="104"/>
        <v>2376000</v>
      </c>
      <c r="T227" s="4">
        <f t="shared" si="98"/>
        <v>1188000</v>
      </c>
      <c r="U227" s="93">
        <f t="shared" si="101"/>
        <v>1188000</v>
      </c>
      <c r="V227" s="34"/>
      <c r="W227" s="34"/>
      <c r="X227" s="4">
        <v>386100</v>
      </c>
      <c r="Y227" s="4">
        <v>386100</v>
      </c>
      <c r="Z227" s="4">
        <f t="shared" si="105"/>
        <v>1188000</v>
      </c>
      <c r="AA227" s="93">
        <f t="shared" si="102"/>
        <v>308880</v>
      </c>
      <c r="AB227" s="90">
        <f t="shared" si="103"/>
        <v>231660</v>
      </c>
      <c r="AC227" s="4">
        <f t="shared" si="100"/>
        <v>154440</v>
      </c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</row>
    <row r="228" spans="1:61" s="37" customFormat="1" ht="27.6" customHeight="1" x14ac:dyDescent="0.2">
      <c r="A228" s="80">
        <v>218</v>
      </c>
      <c r="B228" s="58" t="s">
        <v>340</v>
      </c>
      <c r="C228" s="9" t="s">
        <v>213</v>
      </c>
      <c r="D228" s="71">
        <v>1465000</v>
      </c>
      <c r="E228" s="9"/>
      <c r="F228" s="9"/>
      <c r="G228" s="62"/>
      <c r="H228" s="54">
        <v>6.5</v>
      </c>
      <c r="I228" s="34"/>
      <c r="J228" s="34"/>
      <c r="K228" s="34">
        <v>1465000</v>
      </c>
      <c r="L228" s="8">
        <f t="shared" si="97"/>
        <v>1465000</v>
      </c>
      <c r="M228" s="8">
        <v>1172000</v>
      </c>
      <c r="N228" s="90">
        <f t="shared" si="99"/>
        <v>879000</v>
      </c>
      <c r="O228" s="8"/>
      <c r="P228" s="61"/>
      <c r="Q228" s="8">
        <v>0</v>
      </c>
      <c r="R228" s="4">
        <v>0</v>
      </c>
      <c r="S228" s="90">
        <f t="shared" si="104"/>
        <v>586000</v>
      </c>
      <c r="T228" s="4">
        <f t="shared" si="98"/>
        <v>293000</v>
      </c>
      <c r="U228" s="93">
        <f t="shared" si="101"/>
        <v>293000</v>
      </c>
      <c r="V228" s="34"/>
      <c r="W228" s="34"/>
      <c r="X228" s="4">
        <v>95225</v>
      </c>
      <c r="Y228" s="4">
        <v>95225</v>
      </c>
      <c r="Z228" s="4">
        <f t="shared" si="105"/>
        <v>293000</v>
      </c>
      <c r="AA228" s="93">
        <f t="shared" si="102"/>
        <v>76180</v>
      </c>
      <c r="AB228" s="90">
        <f t="shared" si="103"/>
        <v>57135</v>
      </c>
      <c r="AC228" s="4">
        <f t="shared" si="100"/>
        <v>38090</v>
      </c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</row>
    <row r="229" spans="1:61" s="37" customFormat="1" ht="27.6" customHeight="1" x14ac:dyDescent="0.2">
      <c r="A229" s="9">
        <v>219</v>
      </c>
      <c r="B229" s="58" t="s">
        <v>326</v>
      </c>
      <c r="C229" s="9" t="s">
        <v>213</v>
      </c>
      <c r="D229" s="71">
        <v>75579000</v>
      </c>
      <c r="E229" s="9"/>
      <c r="F229" s="9"/>
      <c r="G229" s="62"/>
      <c r="H229" s="54">
        <v>6.5</v>
      </c>
      <c r="I229" s="34"/>
      <c r="J229" s="34"/>
      <c r="K229" s="34">
        <v>75579000</v>
      </c>
      <c r="L229" s="8">
        <f t="shared" si="97"/>
        <v>75579000</v>
      </c>
      <c r="M229" s="8">
        <v>60463200</v>
      </c>
      <c r="N229" s="90">
        <f t="shared" si="99"/>
        <v>45347400</v>
      </c>
      <c r="O229" s="8"/>
      <c r="P229" s="61"/>
      <c r="Q229" s="8">
        <v>0</v>
      </c>
      <c r="R229" s="4">
        <v>0</v>
      </c>
      <c r="S229" s="90">
        <f t="shared" si="104"/>
        <v>30231600</v>
      </c>
      <c r="T229" s="4">
        <f t="shared" si="98"/>
        <v>15115800</v>
      </c>
      <c r="U229" s="93">
        <f t="shared" si="101"/>
        <v>15115800</v>
      </c>
      <c r="V229" s="34"/>
      <c r="W229" s="34"/>
      <c r="X229" s="4">
        <v>4912635</v>
      </c>
      <c r="Y229" s="4">
        <v>4912635</v>
      </c>
      <c r="Z229" s="4">
        <f t="shared" si="105"/>
        <v>15115800</v>
      </c>
      <c r="AA229" s="93">
        <f t="shared" si="102"/>
        <v>3930108</v>
      </c>
      <c r="AB229" s="90">
        <f t="shared" si="103"/>
        <v>2947581</v>
      </c>
      <c r="AC229" s="4">
        <f t="shared" si="100"/>
        <v>1965054</v>
      </c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</row>
    <row r="230" spans="1:61" s="37" customFormat="1" ht="27.6" customHeight="1" x14ac:dyDescent="0.2">
      <c r="A230" s="80">
        <v>220</v>
      </c>
      <c r="B230" s="58" t="s">
        <v>341</v>
      </c>
      <c r="C230" s="9" t="s">
        <v>213</v>
      </c>
      <c r="D230" s="71">
        <v>4040000</v>
      </c>
      <c r="E230" s="9"/>
      <c r="F230" s="9"/>
      <c r="G230" s="62"/>
      <c r="H230" s="54">
        <v>6.5</v>
      </c>
      <c r="I230" s="34"/>
      <c r="J230" s="34"/>
      <c r="K230" s="34">
        <v>4040000</v>
      </c>
      <c r="L230" s="8">
        <f t="shared" si="97"/>
        <v>4040000</v>
      </c>
      <c r="M230" s="8">
        <v>3232000</v>
      </c>
      <c r="N230" s="90">
        <f t="shared" si="99"/>
        <v>2424000</v>
      </c>
      <c r="O230" s="8"/>
      <c r="P230" s="61"/>
      <c r="Q230" s="8">
        <v>0</v>
      </c>
      <c r="R230" s="4">
        <v>0</v>
      </c>
      <c r="S230" s="90">
        <f t="shared" si="104"/>
        <v>1616000</v>
      </c>
      <c r="T230" s="4">
        <f t="shared" si="98"/>
        <v>808000</v>
      </c>
      <c r="U230" s="93">
        <f t="shared" si="101"/>
        <v>808000</v>
      </c>
      <c r="V230" s="34"/>
      <c r="W230" s="34"/>
      <c r="X230" s="4">
        <v>262600</v>
      </c>
      <c r="Y230" s="4">
        <v>262600</v>
      </c>
      <c r="Z230" s="4">
        <f t="shared" si="105"/>
        <v>808000</v>
      </c>
      <c r="AA230" s="93">
        <f t="shared" si="102"/>
        <v>210080</v>
      </c>
      <c r="AB230" s="90">
        <f t="shared" si="103"/>
        <v>157560</v>
      </c>
      <c r="AC230" s="4">
        <f t="shared" si="100"/>
        <v>105040</v>
      </c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</row>
    <row r="231" spans="1:61" s="37" customFormat="1" ht="27.6" customHeight="1" x14ac:dyDescent="0.2">
      <c r="A231" s="9">
        <v>221</v>
      </c>
      <c r="B231" s="58" t="s">
        <v>341</v>
      </c>
      <c r="C231" s="9" t="s">
        <v>213</v>
      </c>
      <c r="D231" s="71">
        <v>2131000</v>
      </c>
      <c r="E231" s="9"/>
      <c r="F231" s="9"/>
      <c r="G231" s="62"/>
      <c r="H231" s="54">
        <v>6.5</v>
      </c>
      <c r="I231" s="34"/>
      <c r="J231" s="34"/>
      <c r="K231" s="34">
        <v>2131000</v>
      </c>
      <c r="L231" s="8">
        <f t="shared" si="97"/>
        <v>2131000</v>
      </c>
      <c r="M231" s="8">
        <v>1704800</v>
      </c>
      <c r="N231" s="90">
        <f t="shared" si="99"/>
        <v>1278600</v>
      </c>
      <c r="O231" s="8"/>
      <c r="P231" s="61"/>
      <c r="Q231" s="8">
        <v>0</v>
      </c>
      <c r="R231" s="4">
        <v>0</v>
      </c>
      <c r="S231" s="90">
        <f t="shared" si="104"/>
        <v>852400</v>
      </c>
      <c r="T231" s="4">
        <f t="shared" si="98"/>
        <v>426200</v>
      </c>
      <c r="U231" s="93">
        <f t="shared" si="101"/>
        <v>426200</v>
      </c>
      <c r="V231" s="34"/>
      <c r="W231" s="34"/>
      <c r="X231" s="4">
        <v>138515</v>
      </c>
      <c r="Y231" s="4">
        <v>138515</v>
      </c>
      <c r="Z231" s="4">
        <f t="shared" si="105"/>
        <v>426200</v>
      </c>
      <c r="AA231" s="93">
        <f t="shared" si="102"/>
        <v>110812</v>
      </c>
      <c r="AB231" s="90">
        <f t="shared" si="103"/>
        <v>83109</v>
      </c>
      <c r="AC231" s="4">
        <f t="shared" si="100"/>
        <v>55406</v>
      </c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</row>
    <row r="232" spans="1:61" s="37" customFormat="1" ht="27.6" customHeight="1" x14ac:dyDescent="0.2">
      <c r="A232" s="80">
        <v>222</v>
      </c>
      <c r="B232" s="58" t="s">
        <v>342</v>
      </c>
      <c r="C232" s="9" t="s">
        <v>213</v>
      </c>
      <c r="D232" s="71">
        <v>15559000</v>
      </c>
      <c r="E232" s="9"/>
      <c r="F232" s="9"/>
      <c r="G232" s="62"/>
      <c r="H232" s="54">
        <v>6.5</v>
      </c>
      <c r="I232" s="34"/>
      <c r="J232" s="34"/>
      <c r="K232" s="34">
        <v>15559000</v>
      </c>
      <c r="L232" s="8">
        <f t="shared" ref="L232:L263" si="106">D232</f>
        <v>15559000</v>
      </c>
      <c r="M232" s="8">
        <v>12447200</v>
      </c>
      <c r="N232" s="90">
        <f t="shared" si="99"/>
        <v>9335400</v>
      </c>
      <c r="O232" s="8"/>
      <c r="P232" s="61"/>
      <c r="Q232" s="8">
        <v>0</v>
      </c>
      <c r="R232" s="4">
        <v>0</v>
      </c>
      <c r="S232" s="90">
        <f t="shared" si="104"/>
        <v>6223600</v>
      </c>
      <c r="T232" s="4">
        <f t="shared" si="98"/>
        <v>3111800</v>
      </c>
      <c r="U232" s="93">
        <f t="shared" si="101"/>
        <v>3111800</v>
      </c>
      <c r="V232" s="34"/>
      <c r="W232" s="34"/>
      <c r="X232" s="4">
        <v>1011335</v>
      </c>
      <c r="Y232" s="4">
        <v>1011335</v>
      </c>
      <c r="Z232" s="4">
        <f t="shared" si="105"/>
        <v>3111800</v>
      </c>
      <c r="AA232" s="93">
        <f t="shared" si="102"/>
        <v>809068</v>
      </c>
      <c r="AB232" s="90">
        <f t="shared" si="103"/>
        <v>606801</v>
      </c>
      <c r="AC232" s="4">
        <f t="shared" si="100"/>
        <v>404534</v>
      </c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</row>
    <row r="233" spans="1:61" s="37" customFormat="1" ht="27.6" customHeight="1" x14ac:dyDescent="0.2">
      <c r="A233" s="9">
        <v>223</v>
      </c>
      <c r="B233" s="58" t="s">
        <v>342</v>
      </c>
      <c r="C233" s="9" t="s">
        <v>213</v>
      </c>
      <c r="D233" s="71">
        <v>7050000</v>
      </c>
      <c r="E233" s="9"/>
      <c r="F233" s="9"/>
      <c r="G233" s="62"/>
      <c r="H233" s="54">
        <v>6.5</v>
      </c>
      <c r="I233" s="34"/>
      <c r="J233" s="34"/>
      <c r="K233" s="34">
        <v>7050000</v>
      </c>
      <c r="L233" s="8">
        <f t="shared" si="106"/>
        <v>7050000</v>
      </c>
      <c r="M233" s="8">
        <v>5640000</v>
      </c>
      <c r="N233" s="90">
        <f t="shared" si="99"/>
        <v>4230000</v>
      </c>
      <c r="O233" s="8"/>
      <c r="P233" s="61"/>
      <c r="Q233" s="8">
        <v>0</v>
      </c>
      <c r="R233" s="4">
        <v>0</v>
      </c>
      <c r="S233" s="90">
        <f t="shared" si="104"/>
        <v>2820000</v>
      </c>
      <c r="T233" s="4">
        <f t="shared" si="98"/>
        <v>1410000</v>
      </c>
      <c r="U233" s="93">
        <f t="shared" si="101"/>
        <v>1410000</v>
      </c>
      <c r="V233" s="34"/>
      <c r="W233" s="34"/>
      <c r="X233" s="4">
        <v>458250</v>
      </c>
      <c r="Y233" s="4">
        <v>458250</v>
      </c>
      <c r="Z233" s="4">
        <f t="shared" si="105"/>
        <v>1410000</v>
      </c>
      <c r="AA233" s="93">
        <f t="shared" si="102"/>
        <v>366600</v>
      </c>
      <c r="AB233" s="90">
        <f t="shared" si="103"/>
        <v>274950</v>
      </c>
      <c r="AC233" s="4">
        <f t="shared" si="100"/>
        <v>183300</v>
      </c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</row>
    <row r="234" spans="1:61" s="37" customFormat="1" ht="27.6" customHeight="1" x14ac:dyDescent="0.2">
      <c r="A234" s="80">
        <v>224</v>
      </c>
      <c r="B234" s="58" t="s">
        <v>343</v>
      </c>
      <c r="C234" s="9" t="s">
        <v>213</v>
      </c>
      <c r="D234" s="71">
        <v>36017000</v>
      </c>
      <c r="E234" s="9"/>
      <c r="F234" s="9"/>
      <c r="G234" s="62"/>
      <c r="H234" s="54">
        <v>6.5</v>
      </c>
      <c r="I234" s="34"/>
      <c r="J234" s="34"/>
      <c r="K234" s="34">
        <v>36017000</v>
      </c>
      <c r="L234" s="8">
        <f t="shared" si="106"/>
        <v>36017000</v>
      </c>
      <c r="M234" s="8">
        <v>28813600</v>
      </c>
      <c r="N234" s="90">
        <f t="shared" ref="N234:N265" si="107">M234-U234</f>
        <v>21610200</v>
      </c>
      <c r="O234" s="8"/>
      <c r="P234" s="61"/>
      <c r="Q234" s="8">
        <v>0</v>
      </c>
      <c r="R234" s="4">
        <v>0</v>
      </c>
      <c r="S234" s="90">
        <f t="shared" si="104"/>
        <v>14406800</v>
      </c>
      <c r="T234" s="4">
        <f t="shared" si="98"/>
        <v>7203400</v>
      </c>
      <c r="U234" s="93">
        <f t="shared" si="101"/>
        <v>7203400</v>
      </c>
      <c r="V234" s="34"/>
      <c r="W234" s="34"/>
      <c r="X234" s="4">
        <v>2341105</v>
      </c>
      <c r="Y234" s="4">
        <v>2341105</v>
      </c>
      <c r="Z234" s="4">
        <f t="shared" si="105"/>
        <v>7203400</v>
      </c>
      <c r="AA234" s="93">
        <f t="shared" si="102"/>
        <v>1872884</v>
      </c>
      <c r="AB234" s="90">
        <f t="shared" si="103"/>
        <v>1404663</v>
      </c>
      <c r="AC234" s="4">
        <f t="shared" si="100"/>
        <v>936442</v>
      </c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</row>
    <row r="235" spans="1:61" s="37" customFormat="1" ht="27.6" customHeight="1" x14ac:dyDescent="0.2">
      <c r="A235" s="9">
        <v>225</v>
      </c>
      <c r="B235" s="58" t="s">
        <v>327</v>
      </c>
      <c r="C235" s="9" t="s">
        <v>213</v>
      </c>
      <c r="D235" s="71">
        <v>1482000</v>
      </c>
      <c r="E235" s="9"/>
      <c r="F235" s="9"/>
      <c r="G235" s="62"/>
      <c r="H235" s="54">
        <v>6.5</v>
      </c>
      <c r="I235" s="34"/>
      <c r="J235" s="34"/>
      <c r="K235" s="34">
        <v>1482000</v>
      </c>
      <c r="L235" s="8">
        <f t="shared" si="106"/>
        <v>1482000</v>
      </c>
      <c r="M235" s="8">
        <v>1185600</v>
      </c>
      <c r="N235" s="90">
        <f t="shared" si="107"/>
        <v>889200</v>
      </c>
      <c r="O235" s="8"/>
      <c r="P235" s="61"/>
      <c r="Q235" s="8">
        <v>0</v>
      </c>
      <c r="R235" s="4">
        <v>0</v>
      </c>
      <c r="S235" s="90">
        <f t="shared" si="104"/>
        <v>592800</v>
      </c>
      <c r="T235" s="4">
        <f t="shared" si="98"/>
        <v>296400</v>
      </c>
      <c r="U235" s="93">
        <f t="shared" si="101"/>
        <v>296400</v>
      </c>
      <c r="V235" s="34"/>
      <c r="W235" s="34"/>
      <c r="X235" s="4">
        <v>96330</v>
      </c>
      <c r="Y235" s="4">
        <v>96330</v>
      </c>
      <c r="Z235" s="4">
        <f t="shared" si="105"/>
        <v>296400</v>
      </c>
      <c r="AA235" s="93">
        <f t="shared" si="102"/>
        <v>77064</v>
      </c>
      <c r="AB235" s="90">
        <f t="shared" si="103"/>
        <v>57798</v>
      </c>
      <c r="AC235" s="4">
        <f t="shared" si="100"/>
        <v>38532</v>
      </c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</row>
    <row r="236" spans="1:61" s="37" customFormat="1" ht="27.6" customHeight="1" x14ac:dyDescent="0.2">
      <c r="A236" s="80">
        <v>226</v>
      </c>
      <c r="B236" s="58" t="s">
        <v>327</v>
      </c>
      <c r="C236" s="9" t="s">
        <v>213</v>
      </c>
      <c r="D236" s="71">
        <v>5947000</v>
      </c>
      <c r="E236" s="9"/>
      <c r="F236" s="9"/>
      <c r="G236" s="62"/>
      <c r="H236" s="54">
        <v>6.5</v>
      </c>
      <c r="I236" s="34"/>
      <c r="J236" s="34"/>
      <c r="K236" s="34">
        <v>5947000</v>
      </c>
      <c r="L236" s="8">
        <f t="shared" si="106"/>
        <v>5947000</v>
      </c>
      <c r="M236" s="8">
        <v>4757600</v>
      </c>
      <c r="N236" s="90">
        <f t="shared" si="107"/>
        <v>3568200</v>
      </c>
      <c r="O236" s="8"/>
      <c r="P236" s="61"/>
      <c r="Q236" s="8">
        <v>0</v>
      </c>
      <c r="R236" s="4">
        <v>0</v>
      </c>
      <c r="S236" s="90">
        <f t="shared" si="104"/>
        <v>2378800</v>
      </c>
      <c r="T236" s="4">
        <f t="shared" si="98"/>
        <v>1189400</v>
      </c>
      <c r="U236" s="93">
        <f t="shared" si="101"/>
        <v>1189400</v>
      </c>
      <c r="V236" s="34"/>
      <c r="W236" s="34"/>
      <c r="X236" s="4">
        <v>386555</v>
      </c>
      <c r="Y236" s="4">
        <v>386555</v>
      </c>
      <c r="Z236" s="4">
        <f t="shared" si="105"/>
        <v>1189400</v>
      </c>
      <c r="AA236" s="93">
        <f t="shared" si="102"/>
        <v>309244</v>
      </c>
      <c r="AB236" s="90">
        <f t="shared" si="103"/>
        <v>231933</v>
      </c>
      <c r="AC236" s="4">
        <f t="shared" si="100"/>
        <v>154622</v>
      </c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</row>
    <row r="237" spans="1:61" s="37" customFormat="1" ht="27.6" customHeight="1" x14ac:dyDescent="0.2">
      <c r="A237" s="9">
        <v>227</v>
      </c>
      <c r="B237" s="58" t="s">
        <v>327</v>
      </c>
      <c r="C237" s="9" t="s">
        <v>213</v>
      </c>
      <c r="D237" s="71">
        <v>1138000</v>
      </c>
      <c r="E237" s="9"/>
      <c r="F237" s="9"/>
      <c r="G237" s="62"/>
      <c r="H237" s="54">
        <v>6.5</v>
      </c>
      <c r="I237" s="34"/>
      <c r="J237" s="34"/>
      <c r="K237" s="34">
        <v>1138000</v>
      </c>
      <c r="L237" s="8">
        <f t="shared" si="106"/>
        <v>1138000</v>
      </c>
      <c r="M237" s="8">
        <v>910400</v>
      </c>
      <c r="N237" s="90">
        <f t="shared" si="107"/>
        <v>682800</v>
      </c>
      <c r="O237" s="8"/>
      <c r="P237" s="61"/>
      <c r="Q237" s="8">
        <v>0</v>
      </c>
      <c r="R237" s="4">
        <v>0</v>
      </c>
      <c r="S237" s="90">
        <f t="shared" si="104"/>
        <v>455200</v>
      </c>
      <c r="T237" s="4">
        <f t="shared" si="98"/>
        <v>227600</v>
      </c>
      <c r="U237" s="93">
        <f t="shared" si="101"/>
        <v>227600</v>
      </c>
      <c r="V237" s="34"/>
      <c r="W237" s="34"/>
      <c r="X237" s="4">
        <v>73970</v>
      </c>
      <c r="Y237" s="4">
        <v>73970</v>
      </c>
      <c r="Z237" s="4">
        <f t="shared" si="105"/>
        <v>227600</v>
      </c>
      <c r="AA237" s="93">
        <f t="shared" si="102"/>
        <v>59176</v>
      </c>
      <c r="AB237" s="90">
        <f t="shared" si="103"/>
        <v>44382</v>
      </c>
      <c r="AC237" s="4">
        <f t="shared" si="100"/>
        <v>29588</v>
      </c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</row>
    <row r="238" spans="1:61" s="37" customFormat="1" ht="27.6" customHeight="1" x14ac:dyDescent="0.2">
      <c r="A238" s="80">
        <v>228</v>
      </c>
      <c r="B238" s="58" t="s">
        <v>327</v>
      </c>
      <c r="C238" s="9" t="s">
        <v>213</v>
      </c>
      <c r="D238" s="71">
        <v>6591000</v>
      </c>
      <c r="E238" s="9"/>
      <c r="F238" s="9"/>
      <c r="G238" s="62"/>
      <c r="H238" s="54">
        <v>6.5</v>
      </c>
      <c r="I238" s="34"/>
      <c r="J238" s="34"/>
      <c r="K238" s="34">
        <v>6591000</v>
      </c>
      <c r="L238" s="8">
        <f t="shared" si="106"/>
        <v>6591000</v>
      </c>
      <c r="M238" s="8">
        <v>5272800</v>
      </c>
      <c r="N238" s="90">
        <f t="shared" si="107"/>
        <v>3954600</v>
      </c>
      <c r="O238" s="8"/>
      <c r="P238" s="61"/>
      <c r="Q238" s="8">
        <v>0</v>
      </c>
      <c r="R238" s="4">
        <v>0</v>
      </c>
      <c r="S238" s="90">
        <f t="shared" si="104"/>
        <v>2636400</v>
      </c>
      <c r="T238" s="4">
        <f t="shared" si="98"/>
        <v>1318200</v>
      </c>
      <c r="U238" s="93">
        <f t="shared" si="101"/>
        <v>1318200</v>
      </c>
      <c r="V238" s="34"/>
      <c r="W238" s="34"/>
      <c r="X238" s="4">
        <v>428415</v>
      </c>
      <c r="Y238" s="4">
        <v>428415</v>
      </c>
      <c r="Z238" s="4">
        <f t="shared" si="105"/>
        <v>1318200</v>
      </c>
      <c r="AA238" s="93">
        <f t="shared" si="102"/>
        <v>342732</v>
      </c>
      <c r="AB238" s="90">
        <f t="shared" si="103"/>
        <v>257049</v>
      </c>
      <c r="AC238" s="4">
        <f t="shared" si="100"/>
        <v>171366</v>
      </c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</row>
    <row r="239" spans="1:61" s="37" customFormat="1" ht="27.6" customHeight="1" x14ac:dyDescent="0.2">
      <c r="A239" s="9">
        <v>229</v>
      </c>
      <c r="B239" s="58" t="s">
        <v>327</v>
      </c>
      <c r="C239" s="9" t="s">
        <v>213</v>
      </c>
      <c r="D239" s="71">
        <v>26878000</v>
      </c>
      <c r="E239" s="9"/>
      <c r="F239" s="9"/>
      <c r="G239" s="62"/>
      <c r="H239" s="54">
        <v>6.5</v>
      </c>
      <c r="I239" s="34"/>
      <c r="J239" s="34"/>
      <c r="K239" s="34">
        <v>26878000</v>
      </c>
      <c r="L239" s="8">
        <f t="shared" si="106"/>
        <v>26878000</v>
      </c>
      <c r="M239" s="8">
        <v>21502400</v>
      </c>
      <c r="N239" s="90">
        <f t="shared" si="107"/>
        <v>16126800</v>
      </c>
      <c r="O239" s="8"/>
      <c r="P239" s="61"/>
      <c r="Q239" s="8">
        <v>0</v>
      </c>
      <c r="R239" s="4">
        <v>0</v>
      </c>
      <c r="S239" s="90">
        <f t="shared" si="104"/>
        <v>10751200</v>
      </c>
      <c r="T239" s="4">
        <f t="shared" si="98"/>
        <v>5375600</v>
      </c>
      <c r="U239" s="93">
        <f t="shared" si="101"/>
        <v>5375600</v>
      </c>
      <c r="V239" s="34"/>
      <c r="W239" s="34"/>
      <c r="X239" s="4">
        <v>1747070</v>
      </c>
      <c r="Y239" s="4">
        <v>1747070</v>
      </c>
      <c r="Z239" s="4">
        <f t="shared" si="105"/>
        <v>5375600</v>
      </c>
      <c r="AA239" s="93">
        <f t="shared" si="102"/>
        <v>1397656</v>
      </c>
      <c r="AB239" s="90">
        <f t="shared" si="103"/>
        <v>1048242</v>
      </c>
      <c r="AC239" s="4">
        <f t="shared" si="100"/>
        <v>698828</v>
      </c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</row>
    <row r="240" spans="1:61" s="37" customFormat="1" ht="27.6" customHeight="1" x14ac:dyDescent="0.2">
      <c r="A240" s="80">
        <v>230</v>
      </c>
      <c r="B240" s="58" t="s">
        <v>348</v>
      </c>
      <c r="C240" s="9" t="s">
        <v>213</v>
      </c>
      <c r="D240" s="71">
        <v>2079000</v>
      </c>
      <c r="E240" s="9"/>
      <c r="F240" s="9"/>
      <c r="G240" s="62"/>
      <c r="H240" s="54">
        <v>6.5</v>
      </c>
      <c r="I240" s="34"/>
      <c r="J240" s="34"/>
      <c r="K240" s="34">
        <v>2079000</v>
      </c>
      <c r="L240" s="8">
        <f t="shared" si="106"/>
        <v>2079000</v>
      </c>
      <c r="M240" s="8">
        <v>1663200</v>
      </c>
      <c r="N240" s="90">
        <f t="shared" si="107"/>
        <v>1247400</v>
      </c>
      <c r="O240" s="8"/>
      <c r="P240" s="61"/>
      <c r="Q240" s="8">
        <v>0</v>
      </c>
      <c r="R240" s="4">
        <v>0</v>
      </c>
      <c r="S240" s="90">
        <f t="shared" si="104"/>
        <v>831600</v>
      </c>
      <c r="T240" s="4">
        <f t="shared" si="98"/>
        <v>415800</v>
      </c>
      <c r="U240" s="93">
        <f t="shared" si="101"/>
        <v>415800</v>
      </c>
      <c r="V240" s="34"/>
      <c r="W240" s="34"/>
      <c r="X240" s="4">
        <v>135135</v>
      </c>
      <c r="Y240" s="4">
        <v>135135</v>
      </c>
      <c r="Z240" s="4">
        <f t="shared" si="105"/>
        <v>415800</v>
      </c>
      <c r="AA240" s="93">
        <f t="shared" si="102"/>
        <v>108108</v>
      </c>
      <c r="AB240" s="90">
        <f t="shared" si="103"/>
        <v>81081</v>
      </c>
      <c r="AC240" s="4">
        <f t="shared" si="100"/>
        <v>54054</v>
      </c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</row>
    <row r="241" spans="1:61" s="95" customFormat="1" ht="27.6" customHeight="1" x14ac:dyDescent="0.2">
      <c r="A241" s="9">
        <v>231</v>
      </c>
      <c r="B241" s="58" t="s">
        <v>348</v>
      </c>
      <c r="C241" s="9" t="s">
        <v>213</v>
      </c>
      <c r="D241" s="71">
        <v>1532000</v>
      </c>
      <c r="E241" s="9"/>
      <c r="F241" s="9"/>
      <c r="G241" s="62"/>
      <c r="H241" s="54">
        <v>6.5</v>
      </c>
      <c r="I241" s="34"/>
      <c r="J241" s="34"/>
      <c r="K241" s="34">
        <v>1532000</v>
      </c>
      <c r="L241" s="8">
        <f t="shared" si="106"/>
        <v>1532000</v>
      </c>
      <c r="M241" s="8">
        <v>1225600</v>
      </c>
      <c r="N241" s="90">
        <f t="shared" si="107"/>
        <v>919200</v>
      </c>
      <c r="O241" s="8"/>
      <c r="P241" s="61"/>
      <c r="Q241" s="8">
        <v>0</v>
      </c>
      <c r="R241" s="4">
        <v>0</v>
      </c>
      <c r="S241" s="90">
        <f t="shared" si="104"/>
        <v>612800</v>
      </c>
      <c r="T241" s="4">
        <f t="shared" si="98"/>
        <v>306400</v>
      </c>
      <c r="U241" s="93">
        <f t="shared" si="101"/>
        <v>306400</v>
      </c>
      <c r="V241" s="34"/>
      <c r="W241" s="34"/>
      <c r="X241" s="4">
        <v>99580</v>
      </c>
      <c r="Y241" s="4">
        <v>99580</v>
      </c>
      <c r="Z241" s="4">
        <f t="shared" si="105"/>
        <v>306400</v>
      </c>
      <c r="AA241" s="93">
        <f t="shared" si="102"/>
        <v>79664</v>
      </c>
      <c r="AB241" s="90">
        <f t="shared" si="103"/>
        <v>59748</v>
      </c>
      <c r="AC241" s="4">
        <f t="shared" si="100"/>
        <v>39832</v>
      </c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</row>
    <row r="242" spans="1:61" s="95" customFormat="1" ht="27.6" customHeight="1" x14ac:dyDescent="0.2">
      <c r="A242" s="80">
        <v>232</v>
      </c>
      <c r="B242" s="58" t="s">
        <v>350</v>
      </c>
      <c r="C242" s="9" t="s">
        <v>213</v>
      </c>
      <c r="D242" s="71">
        <v>19322000</v>
      </c>
      <c r="E242" s="9"/>
      <c r="F242" s="9"/>
      <c r="G242" s="62"/>
      <c r="H242" s="54">
        <v>6.5</v>
      </c>
      <c r="I242" s="34"/>
      <c r="J242" s="34"/>
      <c r="K242" s="34">
        <v>19322000</v>
      </c>
      <c r="L242" s="8">
        <f t="shared" si="106"/>
        <v>19322000</v>
      </c>
      <c r="M242" s="8">
        <v>15457600</v>
      </c>
      <c r="N242" s="90">
        <f t="shared" si="107"/>
        <v>11593200</v>
      </c>
      <c r="O242" s="8"/>
      <c r="P242" s="61"/>
      <c r="Q242" s="8">
        <v>0</v>
      </c>
      <c r="R242" s="4">
        <v>0</v>
      </c>
      <c r="S242" s="90">
        <f t="shared" si="104"/>
        <v>7728800</v>
      </c>
      <c r="T242" s="4">
        <f t="shared" si="98"/>
        <v>3864400</v>
      </c>
      <c r="U242" s="93">
        <f t="shared" si="101"/>
        <v>3864400</v>
      </c>
      <c r="V242" s="34"/>
      <c r="W242" s="34"/>
      <c r="X242" s="4">
        <v>1255930</v>
      </c>
      <c r="Y242" s="4">
        <v>1255930</v>
      </c>
      <c r="Z242" s="4">
        <f t="shared" si="105"/>
        <v>3864400</v>
      </c>
      <c r="AA242" s="93">
        <f t="shared" si="102"/>
        <v>1004744</v>
      </c>
      <c r="AB242" s="90">
        <f t="shared" si="103"/>
        <v>753558</v>
      </c>
      <c r="AC242" s="4">
        <f t="shared" si="100"/>
        <v>502372</v>
      </c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</row>
    <row r="243" spans="1:61" s="95" customFormat="1" ht="27.6" customHeight="1" x14ac:dyDescent="0.2">
      <c r="A243" s="9">
        <v>233</v>
      </c>
      <c r="B243" s="58" t="s">
        <v>351</v>
      </c>
      <c r="C243" s="9" t="s">
        <v>213</v>
      </c>
      <c r="D243" s="71">
        <v>4381000</v>
      </c>
      <c r="E243" s="9"/>
      <c r="F243" s="9"/>
      <c r="G243" s="62"/>
      <c r="H243" s="54">
        <v>6.5</v>
      </c>
      <c r="I243" s="34"/>
      <c r="J243" s="34"/>
      <c r="K243" s="34">
        <v>4381000</v>
      </c>
      <c r="L243" s="8">
        <f t="shared" si="106"/>
        <v>4381000</v>
      </c>
      <c r="M243" s="8">
        <v>3504800</v>
      </c>
      <c r="N243" s="90">
        <f t="shared" si="107"/>
        <v>2628600</v>
      </c>
      <c r="O243" s="8"/>
      <c r="P243" s="61"/>
      <c r="Q243" s="8">
        <v>0</v>
      </c>
      <c r="R243" s="4">
        <v>0</v>
      </c>
      <c r="S243" s="90">
        <f t="shared" si="104"/>
        <v>1752400</v>
      </c>
      <c r="T243" s="4">
        <f t="shared" si="98"/>
        <v>876200</v>
      </c>
      <c r="U243" s="93">
        <f t="shared" si="101"/>
        <v>876200</v>
      </c>
      <c r="V243" s="34"/>
      <c r="W243" s="34"/>
      <c r="X243" s="4">
        <v>284765</v>
      </c>
      <c r="Y243" s="4">
        <v>284765</v>
      </c>
      <c r="Z243" s="4">
        <f t="shared" si="105"/>
        <v>876200</v>
      </c>
      <c r="AA243" s="93">
        <f t="shared" si="102"/>
        <v>227812</v>
      </c>
      <c r="AB243" s="90">
        <f t="shared" si="103"/>
        <v>170859</v>
      </c>
      <c r="AC243" s="4">
        <f t="shared" si="100"/>
        <v>113906</v>
      </c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</row>
    <row r="244" spans="1:61" s="95" customFormat="1" ht="27.6" customHeight="1" x14ac:dyDescent="0.2">
      <c r="A244" s="80">
        <v>234</v>
      </c>
      <c r="B244" s="58" t="s">
        <v>351</v>
      </c>
      <c r="C244" s="9" t="s">
        <v>213</v>
      </c>
      <c r="D244" s="71">
        <v>6787000</v>
      </c>
      <c r="E244" s="9"/>
      <c r="F244" s="9"/>
      <c r="G244" s="62"/>
      <c r="H244" s="54">
        <v>6.5</v>
      </c>
      <c r="I244" s="34"/>
      <c r="J244" s="34"/>
      <c r="K244" s="34">
        <v>6787000</v>
      </c>
      <c r="L244" s="8">
        <f t="shared" si="106"/>
        <v>6787000</v>
      </c>
      <c r="M244" s="8">
        <v>5429600</v>
      </c>
      <c r="N244" s="90">
        <f t="shared" si="107"/>
        <v>4072200</v>
      </c>
      <c r="O244" s="8"/>
      <c r="P244" s="61"/>
      <c r="Q244" s="8">
        <v>0</v>
      </c>
      <c r="R244" s="4">
        <v>0</v>
      </c>
      <c r="S244" s="90">
        <f t="shared" si="104"/>
        <v>2714800</v>
      </c>
      <c r="T244" s="4">
        <f t="shared" si="98"/>
        <v>1357400</v>
      </c>
      <c r="U244" s="93">
        <f t="shared" si="101"/>
        <v>1357400</v>
      </c>
      <c r="V244" s="34"/>
      <c r="W244" s="34"/>
      <c r="X244" s="4">
        <v>441155</v>
      </c>
      <c r="Y244" s="4">
        <v>441155</v>
      </c>
      <c r="Z244" s="4">
        <f t="shared" si="105"/>
        <v>1357400</v>
      </c>
      <c r="AA244" s="93">
        <f t="shared" si="102"/>
        <v>352924</v>
      </c>
      <c r="AB244" s="90">
        <f t="shared" si="103"/>
        <v>264693</v>
      </c>
      <c r="AC244" s="4">
        <f t="shared" si="100"/>
        <v>176462</v>
      </c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</row>
    <row r="245" spans="1:61" s="95" customFormat="1" ht="27.6" customHeight="1" x14ac:dyDescent="0.2">
      <c r="A245" s="9">
        <v>235</v>
      </c>
      <c r="B245" s="58" t="s">
        <v>351</v>
      </c>
      <c r="C245" s="9" t="s">
        <v>213</v>
      </c>
      <c r="D245" s="71">
        <v>22777000</v>
      </c>
      <c r="E245" s="9"/>
      <c r="F245" s="9"/>
      <c r="G245" s="62"/>
      <c r="H245" s="54">
        <v>6.5</v>
      </c>
      <c r="I245" s="34"/>
      <c r="J245" s="34"/>
      <c r="K245" s="34">
        <v>22777000</v>
      </c>
      <c r="L245" s="8">
        <f t="shared" si="106"/>
        <v>22777000</v>
      </c>
      <c r="M245" s="8">
        <v>18221600</v>
      </c>
      <c r="N245" s="90">
        <f t="shared" si="107"/>
        <v>13666200</v>
      </c>
      <c r="O245" s="8"/>
      <c r="P245" s="61"/>
      <c r="Q245" s="8">
        <v>0</v>
      </c>
      <c r="R245" s="4">
        <v>0</v>
      </c>
      <c r="S245" s="90">
        <f t="shared" si="104"/>
        <v>9110800</v>
      </c>
      <c r="T245" s="4">
        <f t="shared" si="98"/>
        <v>4555400</v>
      </c>
      <c r="U245" s="93">
        <f t="shared" si="101"/>
        <v>4555400</v>
      </c>
      <c r="V245" s="34"/>
      <c r="W245" s="34"/>
      <c r="X245" s="4">
        <v>1480505</v>
      </c>
      <c r="Y245" s="4">
        <v>1480505</v>
      </c>
      <c r="Z245" s="4">
        <f t="shared" si="105"/>
        <v>4555400</v>
      </c>
      <c r="AA245" s="93">
        <f t="shared" si="102"/>
        <v>1184404</v>
      </c>
      <c r="AB245" s="90">
        <f t="shared" si="103"/>
        <v>888303</v>
      </c>
      <c r="AC245" s="4">
        <f t="shared" si="100"/>
        <v>592202</v>
      </c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</row>
    <row r="246" spans="1:61" s="95" customFormat="1" ht="27.6" customHeight="1" x14ac:dyDescent="0.2">
      <c r="A246" s="80">
        <v>236</v>
      </c>
      <c r="B246" s="58" t="s">
        <v>354</v>
      </c>
      <c r="C246" s="9" t="s">
        <v>213</v>
      </c>
      <c r="D246" s="71">
        <v>64896000</v>
      </c>
      <c r="E246" s="9"/>
      <c r="F246" s="9"/>
      <c r="G246" s="62"/>
      <c r="H246" s="54">
        <v>6.5</v>
      </c>
      <c r="I246" s="34"/>
      <c r="J246" s="34"/>
      <c r="K246" s="34">
        <v>64896000</v>
      </c>
      <c r="L246" s="8">
        <f t="shared" si="106"/>
        <v>64896000</v>
      </c>
      <c r="M246" s="8">
        <v>51916800</v>
      </c>
      <c r="N246" s="90">
        <f t="shared" si="107"/>
        <v>38937600</v>
      </c>
      <c r="O246" s="8"/>
      <c r="P246" s="61"/>
      <c r="Q246" s="8">
        <v>0</v>
      </c>
      <c r="R246" s="4">
        <v>0</v>
      </c>
      <c r="S246" s="90">
        <f t="shared" si="104"/>
        <v>25958400</v>
      </c>
      <c r="T246" s="4">
        <f t="shared" si="98"/>
        <v>12979200</v>
      </c>
      <c r="U246" s="93">
        <f t="shared" si="101"/>
        <v>12979200</v>
      </c>
      <c r="V246" s="34"/>
      <c r="W246" s="34"/>
      <c r="X246" s="4">
        <v>4218240</v>
      </c>
      <c r="Y246" s="4">
        <v>4218240</v>
      </c>
      <c r="Z246" s="4">
        <f t="shared" si="105"/>
        <v>12979200</v>
      </c>
      <c r="AA246" s="93">
        <f t="shared" si="102"/>
        <v>3374592</v>
      </c>
      <c r="AB246" s="90">
        <f t="shared" si="103"/>
        <v>2530944</v>
      </c>
      <c r="AC246" s="4">
        <f t="shared" si="100"/>
        <v>1687296</v>
      </c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</row>
    <row r="247" spans="1:61" s="95" customFormat="1" ht="27.6" customHeight="1" x14ac:dyDescent="0.2">
      <c r="A247" s="9">
        <v>237</v>
      </c>
      <c r="B247" s="58" t="s">
        <v>355</v>
      </c>
      <c r="C247" s="9" t="s">
        <v>213</v>
      </c>
      <c r="D247" s="71">
        <v>2779000</v>
      </c>
      <c r="E247" s="9"/>
      <c r="F247" s="9"/>
      <c r="G247" s="62"/>
      <c r="H247" s="54">
        <v>6.5</v>
      </c>
      <c r="I247" s="34"/>
      <c r="J247" s="34"/>
      <c r="K247" s="34">
        <v>2779000</v>
      </c>
      <c r="L247" s="8">
        <f t="shared" si="106"/>
        <v>2779000</v>
      </c>
      <c r="M247" s="8">
        <v>2223200</v>
      </c>
      <c r="N247" s="90">
        <f t="shared" si="107"/>
        <v>1667400</v>
      </c>
      <c r="O247" s="8"/>
      <c r="P247" s="61"/>
      <c r="Q247" s="8">
        <v>0</v>
      </c>
      <c r="R247" s="4">
        <v>0</v>
      </c>
      <c r="S247" s="90">
        <f t="shared" si="104"/>
        <v>1111600</v>
      </c>
      <c r="T247" s="4">
        <f t="shared" si="98"/>
        <v>555800</v>
      </c>
      <c r="U247" s="93">
        <f t="shared" si="101"/>
        <v>555800</v>
      </c>
      <c r="V247" s="34"/>
      <c r="W247" s="34"/>
      <c r="X247" s="4">
        <v>180635</v>
      </c>
      <c r="Y247" s="4">
        <v>180635</v>
      </c>
      <c r="Z247" s="4">
        <f t="shared" si="105"/>
        <v>555800</v>
      </c>
      <c r="AA247" s="93">
        <f t="shared" si="102"/>
        <v>144508</v>
      </c>
      <c r="AB247" s="90">
        <f t="shared" si="103"/>
        <v>108381</v>
      </c>
      <c r="AC247" s="4">
        <f t="shared" si="100"/>
        <v>72254</v>
      </c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</row>
    <row r="248" spans="1:61" s="95" customFormat="1" ht="27.6" customHeight="1" x14ac:dyDescent="0.2">
      <c r="A248" s="80">
        <v>238</v>
      </c>
      <c r="B248" s="58" t="s">
        <v>357</v>
      </c>
      <c r="C248" s="9" t="s">
        <v>213</v>
      </c>
      <c r="D248" s="71">
        <v>2325000</v>
      </c>
      <c r="E248" s="9"/>
      <c r="F248" s="9"/>
      <c r="G248" s="62"/>
      <c r="H248" s="54">
        <v>6.5</v>
      </c>
      <c r="I248" s="34"/>
      <c r="J248" s="34"/>
      <c r="K248" s="34">
        <v>2325000</v>
      </c>
      <c r="L248" s="8">
        <f t="shared" si="106"/>
        <v>2325000</v>
      </c>
      <c r="M248" s="8">
        <v>1860000</v>
      </c>
      <c r="N248" s="90">
        <f t="shared" si="107"/>
        <v>1395000</v>
      </c>
      <c r="O248" s="8"/>
      <c r="P248" s="61"/>
      <c r="Q248" s="8">
        <v>0</v>
      </c>
      <c r="R248" s="4">
        <v>0</v>
      </c>
      <c r="S248" s="90">
        <f t="shared" si="104"/>
        <v>930000</v>
      </c>
      <c r="T248" s="4">
        <f t="shared" si="98"/>
        <v>465000</v>
      </c>
      <c r="U248" s="93">
        <f t="shared" si="101"/>
        <v>465000</v>
      </c>
      <c r="V248" s="34"/>
      <c r="W248" s="34"/>
      <c r="X248" s="4">
        <v>151125</v>
      </c>
      <c r="Y248" s="4">
        <v>151125</v>
      </c>
      <c r="Z248" s="4">
        <f t="shared" si="105"/>
        <v>465000</v>
      </c>
      <c r="AA248" s="93">
        <f t="shared" si="102"/>
        <v>120900</v>
      </c>
      <c r="AB248" s="90">
        <f t="shared" si="103"/>
        <v>90675</v>
      </c>
      <c r="AC248" s="4">
        <f t="shared" si="100"/>
        <v>60450</v>
      </c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</row>
    <row r="249" spans="1:61" s="95" customFormat="1" ht="27.6" customHeight="1" x14ac:dyDescent="0.2">
      <c r="A249" s="9">
        <v>239</v>
      </c>
      <c r="B249" s="58" t="s">
        <v>359</v>
      </c>
      <c r="C249" s="9" t="s">
        <v>213</v>
      </c>
      <c r="D249" s="71">
        <v>784000</v>
      </c>
      <c r="E249" s="9"/>
      <c r="F249" s="9"/>
      <c r="G249" s="62"/>
      <c r="H249" s="54">
        <v>6.5</v>
      </c>
      <c r="I249" s="34"/>
      <c r="J249" s="34"/>
      <c r="K249" s="34">
        <v>784000</v>
      </c>
      <c r="L249" s="8">
        <f t="shared" si="106"/>
        <v>784000</v>
      </c>
      <c r="M249" s="8">
        <v>627200</v>
      </c>
      <c r="N249" s="90">
        <f t="shared" si="107"/>
        <v>470400</v>
      </c>
      <c r="O249" s="8"/>
      <c r="P249" s="61"/>
      <c r="Q249" s="8">
        <v>0</v>
      </c>
      <c r="R249" s="4">
        <v>0</v>
      </c>
      <c r="S249" s="90">
        <f t="shared" si="104"/>
        <v>313600</v>
      </c>
      <c r="T249" s="4">
        <f t="shared" si="98"/>
        <v>156800</v>
      </c>
      <c r="U249" s="93">
        <f t="shared" si="101"/>
        <v>156800</v>
      </c>
      <c r="V249" s="34"/>
      <c r="W249" s="34"/>
      <c r="X249" s="4">
        <v>50960</v>
      </c>
      <c r="Y249" s="4">
        <v>50960</v>
      </c>
      <c r="Z249" s="4">
        <f t="shared" si="105"/>
        <v>156800</v>
      </c>
      <c r="AA249" s="93">
        <f t="shared" si="102"/>
        <v>40768</v>
      </c>
      <c r="AB249" s="90">
        <f t="shared" si="103"/>
        <v>30576</v>
      </c>
      <c r="AC249" s="4">
        <f t="shared" si="100"/>
        <v>20384</v>
      </c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</row>
    <row r="250" spans="1:61" s="95" customFormat="1" ht="27.6" customHeight="1" x14ac:dyDescent="0.2">
      <c r="A250" s="80">
        <v>240</v>
      </c>
      <c r="B250" s="58" t="s">
        <v>360</v>
      </c>
      <c r="C250" s="9" t="s">
        <v>213</v>
      </c>
      <c r="D250" s="71">
        <v>11383000</v>
      </c>
      <c r="E250" s="9"/>
      <c r="F250" s="9"/>
      <c r="G250" s="62"/>
      <c r="H250" s="54">
        <v>6.5</v>
      </c>
      <c r="I250" s="34"/>
      <c r="J250" s="34"/>
      <c r="K250" s="34">
        <v>11383000</v>
      </c>
      <c r="L250" s="8">
        <f t="shared" si="106"/>
        <v>11383000</v>
      </c>
      <c r="M250" s="8">
        <v>9106400</v>
      </c>
      <c r="N250" s="90">
        <f t="shared" si="107"/>
        <v>6829800</v>
      </c>
      <c r="O250" s="8"/>
      <c r="P250" s="61"/>
      <c r="Q250" s="8">
        <v>0</v>
      </c>
      <c r="R250" s="4">
        <v>0</v>
      </c>
      <c r="S250" s="90">
        <f t="shared" si="104"/>
        <v>4553200</v>
      </c>
      <c r="T250" s="4">
        <f t="shared" si="98"/>
        <v>2276600</v>
      </c>
      <c r="U250" s="93">
        <f t="shared" si="101"/>
        <v>2276600</v>
      </c>
      <c r="V250" s="34"/>
      <c r="W250" s="34"/>
      <c r="X250" s="4">
        <v>739895</v>
      </c>
      <c r="Y250" s="4">
        <v>739895</v>
      </c>
      <c r="Z250" s="4">
        <f t="shared" si="105"/>
        <v>2276600</v>
      </c>
      <c r="AA250" s="93">
        <f t="shared" si="102"/>
        <v>591916</v>
      </c>
      <c r="AB250" s="90">
        <f t="shared" si="103"/>
        <v>443937</v>
      </c>
      <c r="AC250" s="4">
        <f t="shared" si="100"/>
        <v>295958</v>
      </c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</row>
    <row r="251" spans="1:61" s="95" customFormat="1" ht="27.6" customHeight="1" x14ac:dyDescent="0.2">
      <c r="A251" s="9">
        <v>241</v>
      </c>
      <c r="B251" s="58" t="s">
        <v>360</v>
      </c>
      <c r="C251" s="9" t="s">
        <v>213</v>
      </c>
      <c r="D251" s="71">
        <v>28643000</v>
      </c>
      <c r="E251" s="9"/>
      <c r="F251" s="9"/>
      <c r="G251" s="62"/>
      <c r="H251" s="54">
        <v>6.5</v>
      </c>
      <c r="I251" s="34"/>
      <c r="J251" s="34"/>
      <c r="K251" s="34">
        <v>28643000</v>
      </c>
      <c r="L251" s="8">
        <f t="shared" si="106"/>
        <v>28643000</v>
      </c>
      <c r="M251" s="8">
        <v>22914400</v>
      </c>
      <c r="N251" s="90">
        <f t="shared" si="107"/>
        <v>17185800</v>
      </c>
      <c r="O251" s="8"/>
      <c r="P251" s="61"/>
      <c r="Q251" s="8">
        <v>0</v>
      </c>
      <c r="R251" s="4">
        <v>0</v>
      </c>
      <c r="S251" s="90">
        <f t="shared" si="104"/>
        <v>11457200</v>
      </c>
      <c r="T251" s="4">
        <f t="shared" si="98"/>
        <v>5728600</v>
      </c>
      <c r="U251" s="93">
        <f t="shared" si="101"/>
        <v>5728600</v>
      </c>
      <c r="V251" s="34"/>
      <c r="W251" s="34"/>
      <c r="X251" s="4">
        <v>1861795</v>
      </c>
      <c r="Y251" s="4">
        <v>1861795</v>
      </c>
      <c r="Z251" s="4">
        <f t="shared" si="105"/>
        <v>5728600</v>
      </c>
      <c r="AA251" s="93">
        <f t="shared" si="102"/>
        <v>1489436</v>
      </c>
      <c r="AB251" s="90">
        <f t="shared" si="103"/>
        <v>1117077</v>
      </c>
      <c r="AC251" s="4">
        <f t="shared" si="100"/>
        <v>744718</v>
      </c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</row>
    <row r="252" spans="1:61" s="95" customFormat="1" ht="27.6" customHeight="1" x14ac:dyDescent="0.2">
      <c r="A252" s="80">
        <v>242</v>
      </c>
      <c r="B252" s="58" t="s">
        <v>360</v>
      </c>
      <c r="C252" s="9" t="s">
        <v>213</v>
      </c>
      <c r="D252" s="71">
        <v>8081000</v>
      </c>
      <c r="E252" s="9"/>
      <c r="F252" s="9"/>
      <c r="G252" s="62"/>
      <c r="H252" s="54">
        <v>6.5</v>
      </c>
      <c r="I252" s="34"/>
      <c r="J252" s="34"/>
      <c r="K252" s="34">
        <v>8081000</v>
      </c>
      <c r="L252" s="8">
        <f t="shared" si="106"/>
        <v>8081000</v>
      </c>
      <c r="M252" s="8">
        <v>6464800</v>
      </c>
      <c r="N252" s="90">
        <f t="shared" si="107"/>
        <v>4848600</v>
      </c>
      <c r="O252" s="8"/>
      <c r="P252" s="61"/>
      <c r="Q252" s="8">
        <v>0</v>
      </c>
      <c r="R252" s="4">
        <v>0</v>
      </c>
      <c r="S252" s="90">
        <f t="shared" si="104"/>
        <v>3232400</v>
      </c>
      <c r="T252" s="4">
        <f t="shared" si="98"/>
        <v>1616200</v>
      </c>
      <c r="U252" s="93">
        <f t="shared" si="101"/>
        <v>1616200</v>
      </c>
      <c r="V252" s="34"/>
      <c r="W252" s="34"/>
      <c r="X252" s="4">
        <v>525265</v>
      </c>
      <c r="Y252" s="4">
        <v>525265</v>
      </c>
      <c r="Z252" s="4">
        <f t="shared" si="105"/>
        <v>1616200</v>
      </c>
      <c r="AA252" s="93">
        <f t="shared" si="102"/>
        <v>420212</v>
      </c>
      <c r="AB252" s="90">
        <f t="shared" si="103"/>
        <v>315159</v>
      </c>
      <c r="AC252" s="4">
        <f t="shared" si="100"/>
        <v>210106</v>
      </c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</row>
    <row r="253" spans="1:61" s="95" customFormat="1" ht="27.6" customHeight="1" x14ac:dyDescent="0.2">
      <c r="A253" s="9">
        <v>243</v>
      </c>
      <c r="B253" s="58" t="s">
        <v>360</v>
      </c>
      <c r="C253" s="9" t="s">
        <v>213</v>
      </c>
      <c r="D253" s="71">
        <v>6374000</v>
      </c>
      <c r="E253" s="9"/>
      <c r="F253" s="9"/>
      <c r="G253" s="62"/>
      <c r="H253" s="54">
        <v>6.5</v>
      </c>
      <c r="I253" s="34"/>
      <c r="J253" s="34"/>
      <c r="K253" s="34">
        <v>6374000</v>
      </c>
      <c r="L253" s="8">
        <f t="shared" si="106"/>
        <v>6374000</v>
      </c>
      <c r="M253" s="8">
        <v>5099200</v>
      </c>
      <c r="N253" s="90">
        <f t="shared" si="107"/>
        <v>3824400</v>
      </c>
      <c r="O253" s="8"/>
      <c r="P253" s="61"/>
      <c r="Q253" s="8">
        <v>0</v>
      </c>
      <c r="R253" s="4">
        <v>0</v>
      </c>
      <c r="S253" s="90">
        <f t="shared" si="104"/>
        <v>2549600</v>
      </c>
      <c r="T253" s="4">
        <f t="shared" si="98"/>
        <v>1274800</v>
      </c>
      <c r="U253" s="93">
        <f t="shared" si="101"/>
        <v>1274800</v>
      </c>
      <c r="V253" s="34"/>
      <c r="W253" s="34"/>
      <c r="X253" s="4">
        <v>414310</v>
      </c>
      <c r="Y253" s="4">
        <v>414310</v>
      </c>
      <c r="Z253" s="4">
        <f t="shared" si="105"/>
        <v>1274800</v>
      </c>
      <c r="AA253" s="93">
        <f t="shared" si="102"/>
        <v>331448</v>
      </c>
      <c r="AB253" s="90">
        <f t="shared" si="103"/>
        <v>248586</v>
      </c>
      <c r="AC253" s="4">
        <f t="shared" si="100"/>
        <v>165724</v>
      </c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</row>
    <row r="254" spans="1:61" s="95" customFormat="1" ht="27.6" customHeight="1" x14ac:dyDescent="0.2">
      <c r="A254" s="80">
        <v>244</v>
      </c>
      <c r="B254" s="58" t="s">
        <v>360</v>
      </c>
      <c r="C254" s="9" t="s">
        <v>213</v>
      </c>
      <c r="D254" s="71">
        <v>25344000</v>
      </c>
      <c r="E254" s="9"/>
      <c r="F254" s="9"/>
      <c r="G254" s="62"/>
      <c r="H254" s="54">
        <v>6.5</v>
      </c>
      <c r="I254" s="34"/>
      <c r="J254" s="34"/>
      <c r="K254" s="34">
        <v>25344000</v>
      </c>
      <c r="L254" s="8">
        <f t="shared" si="106"/>
        <v>25344000</v>
      </c>
      <c r="M254" s="8">
        <v>20275200</v>
      </c>
      <c r="N254" s="90">
        <f t="shared" si="107"/>
        <v>15206400</v>
      </c>
      <c r="O254" s="8"/>
      <c r="P254" s="61"/>
      <c r="Q254" s="8">
        <v>0</v>
      </c>
      <c r="R254" s="4">
        <v>0</v>
      </c>
      <c r="S254" s="90">
        <f t="shared" si="104"/>
        <v>10137600</v>
      </c>
      <c r="T254" s="4">
        <f t="shared" si="98"/>
        <v>5068800</v>
      </c>
      <c r="U254" s="93">
        <f t="shared" si="101"/>
        <v>5068800</v>
      </c>
      <c r="V254" s="34"/>
      <c r="W254" s="34"/>
      <c r="X254" s="4">
        <v>1647360</v>
      </c>
      <c r="Y254" s="4">
        <v>1647360</v>
      </c>
      <c r="Z254" s="4">
        <f t="shared" si="105"/>
        <v>5068800</v>
      </c>
      <c r="AA254" s="93">
        <f t="shared" si="102"/>
        <v>1317888</v>
      </c>
      <c r="AB254" s="90">
        <f t="shared" si="103"/>
        <v>988416</v>
      </c>
      <c r="AC254" s="4">
        <f t="shared" si="100"/>
        <v>658944</v>
      </c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</row>
    <row r="255" spans="1:61" s="95" customFormat="1" ht="27.6" customHeight="1" x14ac:dyDescent="0.2">
      <c r="A255" s="9">
        <v>245</v>
      </c>
      <c r="B255" s="58" t="s">
        <v>360</v>
      </c>
      <c r="C255" s="9" t="s">
        <v>213</v>
      </c>
      <c r="D255" s="71">
        <v>5285000</v>
      </c>
      <c r="E255" s="9"/>
      <c r="F255" s="9"/>
      <c r="G255" s="62"/>
      <c r="H255" s="54">
        <v>6.5</v>
      </c>
      <c r="I255" s="34"/>
      <c r="J255" s="34"/>
      <c r="K255" s="34">
        <v>5285000</v>
      </c>
      <c r="L255" s="8">
        <f t="shared" si="106"/>
        <v>5285000</v>
      </c>
      <c r="M255" s="8">
        <v>4228000</v>
      </c>
      <c r="N255" s="90">
        <f t="shared" si="107"/>
        <v>3171000</v>
      </c>
      <c r="O255" s="8"/>
      <c r="P255" s="61"/>
      <c r="Q255" s="8">
        <v>0</v>
      </c>
      <c r="R255" s="4">
        <v>0</v>
      </c>
      <c r="S255" s="90">
        <f t="shared" si="104"/>
        <v>2114000</v>
      </c>
      <c r="T255" s="4">
        <f t="shared" si="98"/>
        <v>1057000</v>
      </c>
      <c r="U255" s="93">
        <f t="shared" si="101"/>
        <v>1057000</v>
      </c>
      <c r="V255" s="34"/>
      <c r="W255" s="34"/>
      <c r="X255" s="4">
        <v>343525</v>
      </c>
      <c r="Y255" s="4">
        <v>343525</v>
      </c>
      <c r="Z255" s="4">
        <f t="shared" si="105"/>
        <v>1057000</v>
      </c>
      <c r="AA255" s="93">
        <f t="shared" si="102"/>
        <v>274820</v>
      </c>
      <c r="AB255" s="90">
        <f t="shared" si="103"/>
        <v>206115</v>
      </c>
      <c r="AC255" s="4">
        <f t="shared" si="100"/>
        <v>137410</v>
      </c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</row>
    <row r="256" spans="1:61" s="95" customFormat="1" ht="27.6" customHeight="1" x14ac:dyDescent="0.2">
      <c r="A256" s="80">
        <v>246</v>
      </c>
      <c r="B256" s="58" t="s">
        <v>360</v>
      </c>
      <c r="C256" s="9" t="s">
        <v>213</v>
      </c>
      <c r="D256" s="71">
        <v>10049000</v>
      </c>
      <c r="E256" s="9"/>
      <c r="F256" s="9"/>
      <c r="G256" s="62"/>
      <c r="H256" s="54">
        <v>6.5</v>
      </c>
      <c r="I256" s="34"/>
      <c r="J256" s="34"/>
      <c r="K256" s="34">
        <v>10049000</v>
      </c>
      <c r="L256" s="8">
        <f t="shared" si="106"/>
        <v>10049000</v>
      </c>
      <c r="M256" s="8">
        <v>8039200</v>
      </c>
      <c r="N256" s="90">
        <f t="shared" si="107"/>
        <v>6029400</v>
      </c>
      <c r="O256" s="8"/>
      <c r="P256" s="61"/>
      <c r="Q256" s="8">
        <v>0</v>
      </c>
      <c r="R256" s="4">
        <v>0</v>
      </c>
      <c r="S256" s="90">
        <f t="shared" si="104"/>
        <v>4019600</v>
      </c>
      <c r="T256" s="4">
        <f t="shared" si="98"/>
        <v>2009800</v>
      </c>
      <c r="U256" s="93">
        <f t="shared" si="101"/>
        <v>2009800</v>
      </c>
      <c r="V256" s="34"/>
      <c r="W256" s="34"/>
      <c r="X256" s="4">
        <v>653185</v>
      </c>
      <c r="Y256" s="4">
        <v>653185</v>
      </c>
      <c r="Z256" s="4">
        <f t="shared" si="105"/>
        <v>2009800</v>
      </c>
      <c r="AA256" s="93">
        <f t="shared" si="102"/>
        <v>522548</v>
      </c>
      <c r="AB256" s="90">
        <f t="shared" si="103"/>
        <v>391911</v>
      </c>
      <c r="AC256" s="4">
        <f t="shared" si="100"/>
        <v>261274</v>
      </c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</row>
    <row r="257" spans="1:61" s="95" customFormat="1" ht="27.6" customHeight="1" x14ac:dyDescent="0.2">
      <c r="A257" s="9">
        <v>247</v>
      </c>
      <c r="B257" s="58" t="s">
        <v>361</v>
      </c>
      <c r="C257" s="9" t="s">
        <v>213</v>
      </c>
      <c r="D257" s="71">
        <v>8341000</v>
      </c>
      <c r="E257" s="9"/>
      <c r="F257" s="9"/>
      <c r="G257" s="62"/>
      <c r="H257" s="54">
        <v>6.5</v>
      </c>
      <c r="I257" s="34"/>
      <c r="J257" s="34"/>
      <c r="K257" s="34">
        <v>8341000</v>
      </c>
      <c r="L257" s="8">
        <f t="shared" si="106"/>
        <v>8341000</v>
      </c>
      <c r="M257" s="8">
        <v>6672800</v>
      </c>
      <c r="N257" s="90">
        <f t="shared" si="107"/>
        <v>5004600</v>
      </c>
      <c r="O257" s="8"/>
      <c r="P257" s="61"/>
      <c r="Q257" s="8">
        <v>0</v>
      </c>
      <c r="R257" s="4">
        <v>0</v>
      </c>
      <c r="S257" s="90">
        <f t="shared" si="104"/>
        <v>3336400</v>
      </c>
      <c r="T257" s="4">
        <f t="shared" si="98"/>
        <v>1668200</v>
      </c>
      <c r="U257" s="93">
        <f t="shared" si="101"/>
        <v>1668200</v>
      </c>
      <c r="V257" s="34"/>
      <c r="W257" s="34"/>
      <c r="X257" s="4">
        <v>542165</v>
      </c>
      <c r="Y257" s="4">
        <v>542165</v>
      </c>
      <c r="Z257" s="4">
        <f t="shared" si="105"/>
        <v>1668200</v>
      </c>
      <c r="AA257" s="93">
        <f t="shared" si="102"/>
        <v>433732</v>
      </c>
      <c r="AB257" s="90">
        <f t="shared" si="103"/>
        <v>325299</v>
      </c>
      <c r="AC257" s="4">
        <f t="shared" si="100"/>
        <v>216866</v>
      </c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</row>
    <row r="258" spans="1:61" s="95" customFormat="1" ht="27.6" customHeight="1" x14ac:dyDescent="0.2">
      <c r="A258" s="80">
        <v>248</v>
      </c>
      <c r="B258" s="58" t="s">
        <v>363</v>
      </c>
      <c r="C258" s="9" t="s">
        <v>213</v>
      </c>
      <c r="D258" s="71">
        <v>2850000</v>
      </c>
      <c r="E258" s="9"/>
      <c r="F258" s="9"/>
      <c r="G258" s="62"/>
      <c r="H258" s="54">
        <v>6.5</v>
      </c>
      <c r="I258" s="34"/>
      <c r="J258" s="34"/>
      <c r="K258" s="34">
        <v>2850000</v>
      </c>
      <c r="L258" s="8">
        <f t="shared" si="106"/>
        <v>2850000</v>
      </c>
      <c r="M258" s="8">
        <v>2280000</v>
      </c>
      <c r="N258" s="90">
        <f t="shared" si="107"/>
        <v>1710000</v>
      </c>
      <c r="O258" s="8"/>
      <c r="P258" s="61"/>
      <c r="Q258" s="8">
        <v>0</v>
      </c>
      <c r="R258" s="4">
        <v>0</v>
      </c>
      <c r="S258" s="90">
        <f t="shared" si="104"/>
        <v>1140000</v>
      </c>
      <c r="T258" s="4">
        <f t="shared" si="98"/>
        <v>570000</v>
      </c>
      <c r="U258" s="93">
        <f t="shared" si="101"/>
        <v>570000</v>
      </c>
      <c r="V258" s="34"/>
      <c r="W258" s="34"/>
      <c r="X258" s="4">
        <v>185250</v>
      </c>
      <c r="Y258" s="4">
        <v>185250</v>
      </c>
      <c r="Z258" s="4">
        <f t="shared" si="105"/>
        <v>570000</v>
      </c>
      <c r="AA258" s="93">
        <f t="shared" si="102"/>
        <v>148200</v>
      </c>
      <c r="AB258" s="90">
        <f t="shared" si="103"/>
        <v>111150</v>
      </c>
      <c r="AC258" s="4">
        <f t="shared" si="100"/>
        <v>74100</v>
      </c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</row>
    <row r="259" spans="1:61" s="95" customFormat="1" ht="27.6" customHeight="1" x14ac:dyDescent="0.2">
      <c r="A259" s="9">
        <v>249</v>
      </c>
      <c r="B259" s="58" t="s">
        <v>363</v>
      </c>
      <c r="C259" s="9" t="s">
        <v>213</v>
      </c>
      <c r="D259" s="71">
        <v>7357000</v>
      </c>
      <c r="E259" s="9"/>
      <c r="F259" s="9"/>
      <c r="G259" s="62"/>
      <c r="H259" s="54">
        <v>6.5</v>
      </c>
      <c r="I259" s="34"/>
      <c r="J259" s="34"/>
      <c r="K259" s="34">
        <v>7357000</v>
      </c>
      <c r="L259" s="8">
        <f t="shared" si="106"/>
        <v>7357000</v>
      </c>
      <c r="M259" s="8">
        <v>5885600</v>
      </c>
      <c r="N259" s="90">
        <f t="shared" si="107"/>
        <v>4414200</v>
      </c>
      <c r="O259" s="8"/>
      <c r="P259" s="61"/>
      <c r="Q259" s="8">
        <v>0</v>
      </c>
      <c r="R259" s="4">
        <v>0</v>
      </c>
      <c r="S259" s="90">
        <f t="shared" si="104"/>
        <v>2942800</v>
      </c>
      <c r="T259" s="4">
        <f t="shared" si="98"/>
        <v>1471400</v>
      </c>
      <c r="U259" s="93">
        <f t="shared" si="101"/>
        <v>1471400</v>
      </c>
      <c r="V259" s="34"/>
      <c r="W259" s="34"/>
      <c r="X259" s="4">
        <v>478205</v>
      </c>
      <c r="Y259" s="4">
        <v>478205</v>
      </c>
      <c r="Z259" s="4">
        <f t="shared" si="105"/>
        <v>1471400</v>
      </c>
      <c r="AA259" s="93">
        <f t="shared" si="102"/>
        <v>382564</v>
      </c>
      <c r="AB259" s="90">
        <f t="shared" si="103"/>
        <v>286923</v>
      </c>
      <c r="AC259" s="4">
        <f t="shared" si="100"/>
        <v>191282</v>
      </c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</row>
    <row r="260" spans="1:61" s="95" customFormat="1" ht="27.6" customHeight="1" x14ac:dyDescent="0.2">
      <c r="A260" s="80">
        <v>250</v>
      </c>
      <c r="B260" s="58" t="s">
        <v>363</v>
      </c>
      <c r="C260" s="9" t="s">
        <v>213</v>
      </c>
      <c r="D260" s="71">
        <v>24880000</v>
      </c>
      <c r="E260" s="9"/>
      <c r="F260" s="9"/>
      <c r="G260" s="62"/>
      <c r="H260" s="54">
        <v>6.5</v>
      </c>
      <c r="I260" s="34"/>
      <c r="J260" s="34"/>
      <c r="K260" s="34">
        <v>24880000</v>
      </c>
      <c r="L260" s="8">
        <f t="shared" si="106"/>
        <v>24880000</v>
      </c>
      <c r="M260" s="8">
        <v>19904000</v>
      </c>
      <c r="N260" s="90">
        <f t="shared" si="107"/>
        <v>14928000</v>
      </c>
      <c r="O260" s="8"/>
      <c r="P260" s="61"/>
      <c r="Q260" s="8">
        <v>0</v>
      </c>
      <c r="R260" s="4">
        <v>0</v>
      </c>
      <c r="S260" s="90">
        <f t="shared" si="104"/>
        <v>9952000</v>
      </c>
      <c r="T260" s="4">
        <f t="shared" si="98"/>
        <v>4976000</v>
      </c>
      <c r="U260" s="93">
        <f t="shared" si="101"/>
        <v>4976000</v>
      </c>
      <c r="V260" s="34"/>
      <c r="W260" s="34"/>
      <c r="X260" s="4">
        <v>1617200</v>
      </c>
      <c r="Y260" s="4">
        <v>1617200</v>
      </c>
      <c r="Z260" s="4">
        <f t="shared" si="105"/>
        <v>4976000</v>
      </c>
      <c r="AA260" s="93">
        <f t="shared" si="102"/>
        <v>1293760</v>
      </c>
      <c r="AB260" s="90">
        <f t="shared" si="103"/>
        <v>970320</v>
      </c>
      <c r="AC260" s="4">
        <f t="shared" si="100"/>
        <v>646880</v>
      </c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</row>
    <row r="261" spans="1:61" s="95" customFormat="1" ht="27.6" customHeight="1" x14ac:dyDescent="0.2">
      <c r="A261" s="9">
        <v>251</v>
      </c>
      <c r="B261" s="58" t="s">
        <v>364</v>
      </c>
      <c r="C261" s="9" t="s">
        <v>213</v>
      </c>
      <c r="D261" s="71">
        <v>2563000</v>
      </c>
      <c r="E261" s="9"/>
      <c r="F261" s="9"/>
      <c r="G261" s="62"/>
      <c r="H261" s="54">
        <v>6.5</v>
      </c>
      <c r="I261" s="34"/>
      <c r="J261" s="34"/>
      <c r="K261" s="34">
        <v>2563000</v>
      </c>
      <c r="L261" s="8">
        <f t="shared" si="106"/>
        <v>2563000</v>
      </c>
      <c r="M261" s="8">
        <v>2050400</v>
      </c>
      <c r="N261" s="90">
        <f t="shared" si="107"/>
        <v>1537800</v>
      </c>
      <c r="O261" s="8"/>
      <c r="P261" s="61"/>
      <c r="Q261" s="8">
        <v>0</v>
      </c>
      <c r="R261" s="4">
        <v>0</v>
      </c>
      <c r="S261" s="90">
        <f t="shared" si="104"/>
        <v>1025200</v>
      </c>
      <c r="T261" s="4">
        <f t="shared" si="98"/>
        <v>512600</v>
      </c>
      <c r="U261" s="93">
        <f t="shared" si="101"/>
        <v>512600</v>
      </c>
      <c r="V261" s="34"/>
      <c r="W261" s="34"/>
      <c r="X261" s="4">
        <v>166595</v>
      </c>
      <c r="Y261" s="4">
        <v>166595</v>
      </c>
      <c r="Z261" s="4">
        <f t="shared" si="105"/>
        <v>512600</v>
      </c>
      <c r="AA261" s="93">
        <f t="shared" si="102"/>
        <v>133276</v>
      </c>
      <c r="AB261" s="90">
        <f t="shared" si="103"/>
        <v>99957</v>
      </c>
      <c r="AC261" s="4">
        <f t="shared" si="100"/>
        <v>66638</v>
      </c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</row>
    <row r="262" spans="1:61" s="95" customFormat="1" ht="27.6" customHeight="1" x14ac:dyDescent="0.2">
      <c r="A262" s="80">
        <v>252</v>
      </c>
      <c r="B262" s="58" t="s">
        <v>364</v>
      </c>
      <c r="C262" s="9" t="s">
        <v>213</v>
      </c>
      <c r="D262" s="71">
        <v>1853000</v>
      </c>
      <c r="E262" s="9"/>
      <c r="F262" s="9"/>
      <c r="G262" s="62"/>
      <c r="H262" s="54">
        <v>6.5</v>
      </c>
      <c r="I262" s="34"/>
      <c r="J262" s="34"/>
      <c r="K262" s="34">
        <v>1853000</v>
      </c>
      <c r="L262" s="8">
        <f t="shared" si="106"/>
        <v>1853000</v>
      </c>
      <c r="M262" s="8">
        <v>1482400</v>
      </c>
      <c r="N262" s="90">
        <f t="shared" si="107"/>
        <v>1111800</v>
      </c>
      <c r="O262" s="8"/>
      <c r="P262" s="61"/>
      <c r="Q262" s="8">
        <v>0</v>
      </c>
      <c r="R262" s="4">
        <v>0</v>
      </c>
      <c r="S262" s="90">
        <f t="shared" si="104"/>
        <v>741200</v>
      </c>
      <c r="T262" s="4">
        <f t="shared" si="98"/>
        <v>370600</v>
      </c>
      <c r="U262" s="93">
        <f t="shared" si="101"/>
        <v>370600</v>
      </c>
      <c r="V262" s="34"/>
      <c r="W262" s="34"/>
      <c r="X262" s="4">
        <v>120445</v>
      </c>
      <c r="Y262" s="4">
        <v>120445</v>
      </c>
      <c r="Z262" s="4">
        <f t="shared" si="105"/>
        <v>370600</v>
      </c>
      <c r="AA262" s="93">
        <f t="shared" si="102"/>
        <v>96356</v>
      </c>
      <c r="AB262" s="90">
        <f t="shared" si="103"/>
        <v>72267</v>
      </c>
      <c r="AC262" s="4">
        <f t="shared" si="100"/>
        <v>48178</v>
      </c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</row>
    <row r="263" spans="1:61" s="95" customFormat="1" ht="27.6" customHeight="1" x14ac:dyDescent="0.2">
      <c r="A263" s="9">
        <v>253</v>
      </c>
      <c r="B263" s="58" t="s">
        <v>364</v>
      </c>
      <c r="C263" s="9" t="s">
        <v>213</v>
      </c>
      <c r="D263" s="71">
        <v>8604000</v>
      </c>
      <c r="E263" s="9"/>
      <c r="F263" s="9"/>
      <c r="G263" s="62"/>
      <c r="H263" s="54">
        <v>6.5</v>
      </c>
      <c r="I263" s="34"/>
      <c r="J263" s="34"/>
      <c r="K263" s="34">
        <v>8604000</v>
      </c>
      <c r="L263" s="8">
        <f t="shared" si="106"/>
        <v>8604000</v>
      </c>
      <c r="M263" s="8">
        <v>6883200</v>
      </c>
      <c r="N263" s="90">
        <f t="shared" si="107"/>
        <v>5162400</v>
      </c>
      <c r="O263" s="8"/>
      <c r="P263" s="61"/>
      <c r="Q263" s="8">
        <v>0</v>
      </c>
      <c r="R263" s="4">
        <v>0</v>
      </c>
      <c r="S263" s="90">
        <f t="shared" si="104"/>
        <v>3441600</v>
      </c>
      <c r="T263" s="4">
        <f t="shared" si="98"/>
        <v>1720800</v>
      </c>
      <c r="U263" s="93">
        <f t="shared" si="101"/>
        <v>1720800</v>
      </c>
      <c r="V263" s="34"/>
      <c r="W263" s="34"/>
      <c r="X263" s="4">
        <v>559260</v>
      </c>
      <c r="Y263" s="4">
        <v>559260</v>
      </c>
      <c r="Z263" s="4">
        <f t="shared" si="105"/>
        <v>1720800</v>
      </c>
      <c r="AA263" s="93">
        <f t="shared" si="102"/>
        <v>447408</v>
      </c>
      <c r="AB263" s="90">
        <f t="shared" si="103"/>
        <v>335556</v>
      </c>
      <c r="AC263" s="4">
        <f t="shared" si="100"/>
        <v>223704</v>
      </c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</row>
    <row r="264" spans="1:61" s="95" customFormat="1" ht="27.6" customHeight="1" x14ac:dyDescent="0.2">
      <c r="A264" s="80">
        <v>254</v>
      </c>
      <c r="B264" s="58" t="s">
        <v>364</v>
      </c>
      <c r="C264" s="9" t="s">
        <v>213</v>
      </c>
      <c r="D264" s="71">
        <v>11925000</v>
      </c>
      <c r="E264" s="9"/>
      <c r="F264" s="9"/>
      <c r="G264" s="62"/>
      <c r="H264" s="54">
        <v>6.5</v>
      </c>
      <c r="I264" s="34"/>
      <c r="J264" s="34"/>
      <c r="K264" s="34">
        <v>11925000</v>
      </c>
      <c r="L264" s="8">
        <f t="shared" ref="L264:L292" si="108">D264</f>
        <v>11925000</v>
      </c>
      <c r="M264" s="8">
        <v>9540000</v>
      </c>
      <c r="N264" s="90">
        <f t="shared" si="107"/>
        <v>7155000</v>
      </c>
      <c r="O264" s="8"/>
      <c r="P264" s="61"/>
      <c r="Q264" s="8">
        <v>0</v>
      </c>
      <c r="R264" s="4">
        <v>0</v>
      </c>
      <c r="S264" s="90">
        <f t="shared" si="104"/>
        <v>4770000</v>
      </c>
      <c r="T264" s="4">
        <f t="shared" si="98"/>
        <v>2385000</v>
      </c>
      <c r="U264" s="93">
        <f t="shared" si="101"/>
        <v>2385000</v>
      </c>
      <c r="V264" s="34"/>
      <c r="W264" s="34"/>
      <c r="X264" s="4">
        <v>775125</v>
      </c>
      <c r="Y264" s="4">
        <v>775125</v>
      </c>
      <c r="Z264" s="4">
        <f t="shared" si="105"/>
        <v>2385000</v>
      </c>
      <c r="AA264" s="93">
        <f t="shared" si="102"/>
        <v>620100</v>
      </c>
      <c r="AB264" s="90">
        <f t="shared" si="103"/>
        <v>465075</v>
      </c>
      <c r="AC264" s="4">
        <f t="shared" si="100"/>
        <v>310050</v>
      </c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</row>
    <row r="265" spans="1:61" s="95" customFormat="1" ht="27.6" customHeight="1" x14ac:dyDescent="0.2">
      <c r="A265" s="9">
        <v>255</v>
      </c>
      <c r="B265" s="58" t="s">
        <v>365</v>
      </c>
      <c r="C265" s="9" t="s">
        <v>213</v>
      </c>
      <c r="D265" s="71">
        <v>1388000</v>
      </c>
      <c r="E265" s="9"/>
      <c r="F265" s="9"/>
      <c r="G265" s="62"/>
      <c r="H265" s="54">
        <v>6.5</v>
      </c>
      <c r="I265" s="34"/>
      <c r="J265" s="34"/>
      <c r="K265" s="34">
        <v>1388000</v>
      </c>
      <c r="L265" s="8">
        <f t="shared" si="108"/>
        <v>1388000</v>
      </c>
      <c r="M265" s="8">
        <v>1110400</v>
      </c>
      <c r="N265" s="90">
        <f t="shared" si="107"/>
        <v>832800</v>
      </c>
      <c r="O265" s="8"/>
      <c r="P265" s="61"/>
      <c r="Q265" s="8">
        <v>0</v>
      </c>
      <c r="R265" s="4">
        <v>0</v>
      </c>
      <c r="S265" s="90">
        <f t="shared" si="104"/>
        <v>555200</v>
      </c>
      <c r="T265" s="4">
        <f t="shared" ref="T265:T269" si="109">D265/5</f>
        <v>277600</v>
      </c>
      <c r="U265" s="93">
        <f t="shared" si="101"/>
        <v>277600</v>
      </c>
      <c r="V265" s="34"/>
      <c r="W265" s="34"/>
      <c r="X265" s="4">
        <v>90220</v>
      </c>
      <c r="Y265" s="4">
        <v>90220</v>
      </c>
      <c r="Z265" s="4">
        <f t="shared" si="105"/>
        <v>277600</v>
      </c>
      <c r="AA265" s="93">
        <f t="shared" si="102"/>
        <v>72176</v>
      </c>
      <c r="AB265" s="90">
        <f t="shared" si="103"/>
        <v>54132</v>
      </c>
      <c r="AC265" s="4">
        <f t="shared" si="100"/>
        <v>36088</v>
      </c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</row>
    <row r="266" spans="1:61" s="95" customFormat="1" ht="27.6" customHeight="1" x14ac:dyDescent="0.2">
      <c r="A266" s="80">
        <v>256</v>
      </c>
      <c r="B266" s="58" t="s">
        <v>365</v>
      </c>
      <c r="C266" s="9" t="s">
        <v>213</v>
      </c>
      <c r="D266" s="71">
        <v>10054000</v>
      </c>
      <c r="E266" s="9"/>
      <c r="F266" s="9"/>
      <c r="G266" s="62"/>
      <c r="H266" s="54">
        <v>6.5</v>
      </c>
      <c r="I266" s="34"/>
      <c r="J266" s="34"/>
      <c r="K266" s="34">
        <v>10054000</v>
      </c>
      <c r="L266" s="8">
        <f t="shared" si="108"/>
        <v>10054000</v>
      </c>
      <c r="M266" s="8">
        <v>8043200</v>
      </c>
      <c r="N266" s="90">
        <f t="shared" ref="N266:N269" si="110">M266-U266</f>
        <v>6032400</v>
      </c>
      <c r="O266" s="8"/>
      <c r="P266" s="61"/>
      <c r="Q266" s="8">
        <v>0</v>
      </c>
      <c r="R266" s="4">
        <v>0</v>
      </c>
      <c r="S266" s="90">
        <f t="shared" si="104"/>
        <v>4021600</v>
      </c>
      <c r="T266" s="4">
        <f t="shared" si="109"/>
        <v>2010800</v>
      </c>
      <c r="U266" s="93">
        <f t="shared" si="101"/>
        <v>2010800</v>
      </c>
      <c r="V266" s="34"/>
      <c r="W266" s="34"/>
      <c r="X266" s="4">
        <v>653510</v>
      </c>
      <c r="Y266" s="4">
        <v>653510</v>
      </c>
      <c r="Z266" s="4">
        <f t="shared" si="105"/>
        <v>2010800</v>
      </c>
      <c r="AA266" s="93">
        <f t="shared" si="102"/>
        <v>522808</v>
      </c>
      <c r="AB266" s="90">
        <f t="shared" si="103"/>
        <v>392106</v>
      </c>
      <c r="AC266" s="4">
        <f t="shared" ref="AC266:AC329" si="111">S266*H266%</f>
        <v>261404</v>
      </c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</row>
    <row r="267" spans="1:61" s="95" customFormat="1" ht="27.6" customHeight="1" x14ac:dyDescent="0.2">
      <c r="A267" s="9">
        <v>257</v>
      </c>
      <c r="B267" s="58" t="s">
        <v>365</v>
      </c>
      <c r="C267" s="9" t="s">
        <v>213</v>
      </c>
      <c r="D267" s="71">
        <v>12033000</v>
      </c>
      <c r="E267" s="9"/>
      <c r="F267" s="9"/>
      <c r="G267" s="62"/>
      <c r="H267" s="54">
        <v>6.5</v>
      </c>
      <c r="I267" s="34"/>
      <c r="J267" s="34"/>
      <c r="K267" s="34">
        <v>12033000</v>
      </c>
      <c r="L267" s="8">
        <f t="shared" si="108"/>
        <v>12033000</v>
      </c>
      <c r="M267" s="8">
        <v>9626400</v>
      </c>
      <c r="N267" s="90">
        <f t="shared" si="110"/>
        <v>7219800</v>
      </c>
      <c r="O267" s="8"/>
      <c r="P267" s="61"/>
      <c r="Q267" s="8">
        <v>0</v>
      </c>
      <c r="R267" s="4">
        <v>0</v>
      </c>
      <c r="S267" s="90">
        <f t="shared" si="104"/>
        <v>4813200</v>
      </c>
      <c r="T267" s="4">
        <f t="shared" si="109"/>
        <v>2406600</v>
      </c>
      <c r="U267" s="93">
        <f>T267</f>
        <v>2406600</v>
      </c>
      <c r="V267" s="34"/>
      <c r="W267" s="34"/>
      <c r="X267" s="4">
        <v>782145</v>
      </c>
      <c r="Y267" s="4">
        <v>782145</v>
      </c>
      <c r="Z267" s="4">
        <f t="shared" si="105"/>
        <v>2406600</v>
      </c>
      <c r="AA267" s="93">
        <f>M267*6.5/100</f>
        <v>625716</v>
      </c>
      <c r="AB267" s="90">
        <f t="shared" ref="AB267:AB330" si="112">N267*6.5/100</f>
        <v>469287</v>
      </c>
      <c r="AC267" s="4">
        <f t="shared" si="111"/>
        <v>312858</v>
      </c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</row>
    <row r="268" spans="1:61" s="95" customFormat="1" ht="27.6" customHeight="1" x14ac:dyDescent="0.2">
      <c r="A268" s="80">
        <v>258</v>
      </c>
      <c r="B268" s="58" t="s">
        <v>365</v>
      </c>
      <c r="C268" s="9" t="s">
        <v>213</v>
      </c>
      <c r="D268" s="71">
        <v>6289000</v>
      </c>
      <c r="E268" s="9"/>
      <c r="F268" s="9"/>
      <c r="G268" s="62"/>
      <c r="H268" s="54">
        <v>6.5</v>
      </c>
      <c r="I268" s="34"/>
      <c r="J268" s="34"/>
      <c r="K268" s="34">
        <v>6289000</v>
      </c>
      <c r="L268" s="8">
        <f t="shared" si="108"/>
        <v>6289000</v>
      </c>
      <c r="M268" s="8">
        <v>5031200</v>
      </c>
      <c r="N268" s="90">
        <f t="shared" si="110"/>
        <v>3773400</v>
      </c>
      <c r="O268" s="8"/>
      <c r="P268" s="61"/>
      <c r="Q268" s="8">
        <v>0</v>
      </c>
      <c r="R268" s="4">
        <v>0</v>
      </c>
      <c r="S268" s="90">
        <f t="shared" si="104"/>
        <v>2515600</v>
      </c>
      <c r="T268" s="4">
        <f t="shared" si="109"/>
        <v>1257800</v>
      </c>
      <c r="U268" s="93">
        <f>T268</f>
        <v>1257800</v>
      </c>
      <c r="V268" s="34"/>
      <c r="W268" s="34"/>
      <c r="X268" s="4">
        <v>408785</v>
      </c>
      <c r="Y268" s="4">
        <v>408785</v>
      </c>
      <c r="Z268" s="4">
        <f t="shared" si="105"/>
        <v>1257800</v>
      </c>
      <c r="AA268" s="93">
        <f>M268*6.5/100</f>
        <v>327028</v>
      </c>
      <c r="AB268" s="90">
        <f t="shared" si="112"/>
        <v>245271</v>
      </c>
      <c r="AC268" s="4">
        <f t="shared" si="111"/>
        <v>163514</v>
      </c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</row>
    <row r="269" spans="1:61" s="95" customFormat="1" ht="27.6" customHeight="1" x14ac:dyDescent="0.2">
      <c r="A269" s="9">
        <v>259</v>
      </c>
      <c r="B269" s="58" t="s">
        <v>365</v>
      </c>
      <c r="C269" s="9" t="s">
        <v>213</v>
      </c>
      <c r="D269" s="71">
        <v>6496000</v>
      </c>
      <c r="E269" s="9"/>
      <c r="F269" s="9"/>
      <c r="G269" s="62"/>
      <c r="H269" s="54">
        <v>6.5</v>
      </c>
      <c r="I269" s="34"/>
      <c r="J269" s="34"/>
      <c r="K269" s="34">
        <v>6496000</v>
      </c>
      <c r="L269" s="8">
        <f t="shared" si="108"/>
        <v>6496000</v>
      </c>
      <c r="M269" s="8">
        <v>5196800</v>
      </c>
      <c r="N269" s="90">
        <f t="shared" si="110"/>
        <v>3897600</v>
      </c>
      <c r="O269" s="8"/>
      <c r="P269" s="61"/>
      <c r="Q269" s="8">
        <v>0</v>
      </c>
      <c r="R269" s="4">
        <v>0</v>
      </c>
      <c r="S269" s="90">
        <f t="shared" si="104"/>
        <v>2598400</v>
      </c>
      <c r="T269" s="4">
        <f t="shared" si="109"/>
        <v>1299200</v>
      </c>
      <c r="U269" s="93">
        <f>T269</f>
        <v>1299200</v>
      </c>
      <c r="V269" s="34"/>
      <c r="W269" s="34"/>
      <c r="X269" s="4">
        <v>422240</v>
      </c>
      <c r="Y269" s="4">
        <v>422240</v>
      </c>
      <c r="Z269" s="4">
        <f t="shared" si="105"/>
        <v>1299200</v>
      </c>
      <c r="AA269" s="93">
        <f>M269*6.5/100</f>
        <v>337792</v>
      </c>
      <c r="AB269" s="90">
        <f t="shared" si="112"/>
        <v>253344</v>
      </c>
      <c r="AC269" s="4">
        <f t="shared" si="111"/>
        <v>168896</v>
      </c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</row>
    <row r="270" spans="1:61" s="95" customFormat="1" ht="27.6" customHeight="1" x14ac:dyDescent="0.2">
      <c r="A270" s="80">
        <v>260</v>
      </c>
      <c r="B270" s="58" t="s">
        <v>370</v>
      </c>
      <c r="C270" s="9" t="s">
        <v>213</v>
      </c>
      <c r="D270" s="71">
        <v>3942000</v>
      </c>
      <c r="E270" s="9"/>
      <c r="F270" s="9"/>
      <c r="G270" s="62"/>
      <c r="H270" s="54">
        <v>6.5</v>
      </c>
      <c r="I270" s="34"/>
      <c r="J270" s="34"/>
      <c r="K270" s="34">
        <v>0</v>
      </c>
      <c r="L270" s="8">
        <f t="shared" si="108"/>
        <v>3942000</v>
      </c>
      <c r="M270" s="8">
        <f t="shared" ref="M270:M295" si="113">L270-R270</f>
        <v>3942000</v>
      </c>
      <c r="N270" s="90">
        <f>M270-T270</f>
        <v>3153600</v>
      </c>
      <c r="O270" s="8"/>
      <c r="P270" s="61"/>
      <c r="Q270" s="8">
        <v>0</v>
      </c>
      <c r="R270" s="4">
        <v>0</v>
      </c>
      <c r="S270" s="90">
        <f t="shared" si="104"/>
        <v>2365200</v>
      </c>
      <c r="T270" s="4">
        <f>U270</f>
        <v>788400</v>
      </c>
      <c r="U270" s="4">
        <f>M270/5</f>
        <v>788400</v>
      </c>
      <c r="V270" s="34"/>
      <c r="W270" s="34"/>
      <c r="X270" s="4">
        <v>237276</v>
      </c>
      <c r="Y270" s="4">
        <v>256230</v>
      </c>
      <c r="Z270" s="4">
        <f t="shared" si="105"/>
        <v>788400</v>
      </c>
      <c r="AA270" s="4">
        <f>M270*6.5/100</f>
        <v>256230</v>
      </c>
      <c r="AB270" s="90">
        <f t="shared" si="112"/>
        <v>204984</v>
      </c>
      <c r="AC270" s="4">
        <f t="shared" si="111"/>
        <v>153738</v>
      </c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</row>
    <row r="271" spans="1:61" s="95" customFormat="1" ht="27.6" customHeight="1" x14ac:dyDescent="0.2">
      <c r="A271" s="9">
        <v>261</v>
      </c>
      <c r="B271" s="58" t="s">
        <v>370</v>
      </c>
      <c r="C271" s="9" t="s">
        <v>213</v>
      </c>
      <c r="D271" s="71">
        <v>4145000</v>
      </c>
      <c r="E271" s="9"/>
      <c r="F271" s="9"/>
      <c r="G271" s="62"/>
      <c r="H271" s="54">
        <v>6.5</v>
      </c>
      <c r="I271" s="34"/>
      <c r="J271" s="34"/>
      <c r="K271" s="34">
        <v>0</v>
      </c>
      <c r="L271" s="8">
        <f t="shared" si="108"/>
        <v>4145000</v>
      </c>
      <c r="M271" s="8">
        <f t="shared" si="113"/>
        <v>4145000</v>
      </c>
      <c r="N271" s="90">
        <f t="shared" ref="N271:N334" si="114">M271-T271</f>
        <v>3316000</v>
      </c>
      <c r="O271" s="8"/>
      <c r="P271" s="61"/>
      <c r="Q271" s="8">
        <v>0</v>
      </c>
      <c r="R271" s="4">
        <v>0</v>
      </c>
      <c r="S271" s="90">
        <f t="shared" si="104"/>
        <v>2487000</v>
      </c>
      <c r="T271" s="4">
        <f t="shared" ref="T271:T302" si="115">U271</f>
        <v>829000</v>
      </c>
      <c r="U271" s="4">
        <f t="shared" ref="U271:U302" si="116">M271/5</f>
        <v>829000</v>
      </c>
      <c r="V271" s="34"/>
      <c r="W271" s="34"/>
      <c r="X271" s="4">
        <v>249495</v>
      </c>
      <c r="Y271" s="4">
        <v>269425</v>
      </c>
      <c r="Z271" s="4">
        <f t="shared" si="105"/>
        <v>829000</v>
      </c>
      <c r="AA271" s="4">
        <f t="shared" ref="AA271:AA302" si="117">M271*6.5/100</f>
        <v>269425</v>
      </c>
      <c r="AB271" s="90">
        <f t="shared" si="112"/>
        <v>215540</v>
      </c>
      <c r="AC271" s="4">
        <f t="shared" si="111"/>
        <v>161655</v>
      </c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</row>
    <row r="272" spans="1:61" s="95" customFormat="1" ht="27.6" customHeight="1" x14ac:dyDescent="0.2">
      <c r="A272" s="80">
        <v>262</v>
      </c>
      <c r="B272" s="58" t="s">
        <v>383</v>
      </c>
      <c r="C272" s="9" t="s">
        <v>213</v>
      </c>
      <c r="D272" s="71">
        <v>2953000</v>
      </c>
      <c r="E272" s="9"/>
      <c r="F272" s="9"/>
      <c r="G272" s="62"/>
      <c r="H272" s="54">
        <v>6.5</v>
      </c>
      <c r="I272" s="34"/>
      <c r="J272" s="34"/>
      <c r="K272" s="34">
        <v>0</v>
      </c>
      <c r="L272" s="8">
        <f t="shared" si="108"/>
        <v>2953000</v>
      </c>
      <c r="M272" s="8">
        <f t="shared" si="113"/>
        <v>2953000</v>
      </c>
      <c r="N272" s="90">
        <f t="shared" si="114"/>
        <v>2362400</v>
      </c>
      <c r="O272" s="8"/>
      <c r="P272" s="61"/>
      <c r="Q272" s="8">
        <v>0</v>
      </c>
      <c r="R272" s="4">
        <v>0</v>
      </c>
      <c r="S272" s="90">
        <f t="shared" si="104"/>
        <v>1771800</v>
      </c>
      <c r="T272" s="4">
        <f t="shared" si="115"/>
        <v>590600</v>
      </c>
      <c r="U272" s="4">
        <f t="shared" si="116"/>
        <v>590600</v>
      </c>
      <c r="V272" s="34"/>
      <c r="W272" s="34"/>
      <c r="X272" s="4">
        <v>170910</v>
      </c>
      <c r="Y272" s="4">
        <v>191945</v>
      </c>
      <c r="Z272" s="4">
        <f t="shared" si="105"/>
        <v>590600</v>
      </c>
      <c r="AA272" s="4">
        <f t="shared" si="117"/>
        <v>191945</v>
      </c>
      <c r="AB272" s="90">
        <f t="shared" si="112"/>
        <v>153556</v>
      </c>
      <c r="AC272" s="4">
        <f t="shared" si="111"/>
        <v>115167</v>
      </c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</row>
    <row r="273" spans="1:61" s="95" customFormat="1" ht="27.6" customHeight="1" x14ac:dyDescent="0.2">
      <c r="A273" s="9">
        <v>263</v>
      </c>
      <c r="B273" s="58" t="s">
        <v>383</v>
      </c>
      <c r="C273" s="9" t="s">
        <v>213</v>
      </c>
      <c r="D273" s="71">
        <v>16829000</v>
      </c>
      <c r="E273" s="9"/>
      <c r="F273" s="9"/>
      <c r="G273" s="62"/>
      <c r="H273" s="54">
        <v>6.5</v>
      </c>
      <c r="I273" s="34"/>
      <c r="J273" s="34"/>
      <c r="K273" s="34">
        <v>0</v>
      </c>
      <c r="L273" s="8">
        <f t="shared" si="108"/>
        <v>16829000</v>
      </c>
      <c r="M273" s="8">
        <f t="shared" si="113"/>
        <v>16829000</v>
      </c>
      <c r="N273" s="90">
        <f t="shared" si="114"/>
        <v>13463200</v>
      </c>
      <c r="O273" s="8"/>
      <c r="P273" s="61"/>
      <c r="Q273" s="8">
        <v>0</v>
      </c>
      <c r="R273" s="4">
        <v>0</v>
      </c>
      <c r="S273" s="90">
        <f t="shared" si="104"/>
        <v>10097400</v>
      </c>
      <c r="T273" s="4">
        <f t="shared" si="115"/>
        <v>3365800</v>
      </c>
      <c r="U273" s="4">
        <f t="shared" si="116"/>
        <v>3365800</v>
      </c>
      <c r="V273" s="34"/>
      <c r="W273" s="34"/>
      <c r="X273" s="4">
        <v>974007</v>
      </c>
      <c r="Y273" s="4">
        <v>1093885</v>
      </c>
      <c r="Z273" s="4">
        <f t="shared" si="105"/>
        <v>3365800</v>
      </c>
      <c r="AA273" s="4">
        <f t="shared" si="117"/>
        <v>1093885</v>
      </c>
      <c r="AB273" s="90">
        <f t="shared" si="112"/>
        <v>875108</v>
      </c>
      <c r="AC273" s="4">
        <f t="shared" si="111"/>
        <v>656331</v>
      </c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</row>
    <row r="274" spans="1:61" s="95" customFormat="1" ht="27.6" customHeight="1" x14ac:dyDescent="0.2">
      <c r="A274" s="80">
        <v>264</v>
      </c>
      <c r="B274" s="58" t="s">
        <v>385</v>
      </c>
      <c r="C274" s="9" t="s">
        <v>213</v>
      </c>
      <c r="D274" s="71">
        <v>30139000</v>
      </c>
      <c r="E274" s="9"/>
      <c r="F274" s="9"/>
      <c r="G274" s="62"/>
      <c r="H274" s="54">
        <v>6.5</v>
      </c>
      <c r="I274" s="34"/>
      <c r="J274" s="34"/>
      <c r="K274" s="34">
        <v>0</v>
      </c>
      <c r="L274" s="8">
        <f t="shared" si="108"/>
        <v>30139000</v>
      </c>
      <c r="M274" s="8">
        <f t="shared" si="113"/>
        <v>30139000</v>
      </c>
      <c r="N274" s="90">
        <f t="shared" si="114"/>
        <v>24111200</v>
      </c>
      <c r="O274" s="8"/>
      <c r="P274" s="61"/>
      <c r="Q274" s="8">
        <v>0</v>
      </c>
      <c r="R274" s="4">
        <v>0</v>
      </c>
      <c r="S274" s="90">
        <f t="shared" si="104"/>
        <v>18083400</v>
      </c>
      <c r="T274" s="4">
        <f t="shared" si="115"/>
        <v>6027800</v>
      </c>
      <c r="U274" s="4">
        <f t="shared" si="116"/>
        <v>6027800</v>
      </c>
      <c r="V274" s="34"/>
      <c r="W274" s="34"/>
      <c r="X274" s="4">
        <v>1594064</v>
      </c>
      <c r="Y274" s="4">
        <v>1959035</v>
      </c>
      <c r="Z274" s="4">
        <f t="shared" si="105"/>
        <v>6027800</v>
      </c>
      <c r="AA274" s="4">
        <f t="shared" si="117"/>
        <v>1959035</v>
      </c>
      <c r="AB274" s="90">
        <f t="shared" si="112"/>
        <v>1567228</v>
      </c>
      <c r="AC274" s="4">
        <f t="shared" si="111"/>
        <v>1175421</v>
      </c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</row>
    <row r="275" spans="1:61" s="95" customFormat="1" ht="27.6" customHeight="1" x14ac:dyDescent="0.2">
      <c r="A275" s="9">
        <v>265</v>
      </c>
      <c r="B275" s="58" t="s">
        <v>388</v>
      </c>
      <c r="C275" s="9" t="s">
        <v>213</v>
      </c>
      <c r="D275" s="71">
        <v>3908000</v>
      </c>
      <c r="E275" s="9"/>
      <c r="F275" s="9"/>
      <c r="G275" s="62"/>
      <c r="H275" s="54">
        <v>6.5</v>
      </c>
      <c r="I275" s="34"/>
      <c r="J275" s="34"/>
      <c r="K275" s="34">
        <v>0</v>
      </c>
      <c r="L275" s="8">
        <f t="shared" si="108"/>
        <v>3908000</v>
      </c>
      <c r="M275" s="8">
        <f t="shared" si="113"/>
        <v>3908000</v>
      </c>
      <c r="N275" s="90">
        <f t="shared" si="114"/>
        <v>3126400</v>
      </c>
      <c r="O275" s="8"/>
      <c r="P275" s="61"/>
      <c r="Q275" s="8">
        <v>0</v>
      </c>
      <c r="R275" s="4">
        <v>0</v>
      </c>
      <c r="S275" s="90">
        <f t="shared" si="104"/>
        <v>2344800</v>
      </c>
      <c r="T275" s="4">
        <f t="shared" si="115"/>
        <v>781600</v>
      </c>
      <c r="U275" s="4">
        <f t="shared" si="116"/>
        <v>781600</v>
      </c>
      <c r="V275" s="34"/>
      <c r="W275" s="34"/>
      <c r="X275" s="4">
        <v>180946</v>
      </c>
      <c r="Y275" s="4">
        <v>254020</v>
      </c>
      <c r="Z275" s="4">
        <f t="shared" si="105"/>
        <v>781600</v>
      </c>
      <c r="AA275" s="4">
        <f t="shared" si="117"/>
        <v>254020</v>
      </c>
      <c r="AB275" s="90">
        <f t="shared" si="112"/>
        <v>203216</v>
      </c>
      <c r="AC275" s="4">
        <f t="shared" si="111"/>
        <v>152412</v>
      </c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</row>
    <row r="276" spans="1:61" s="95" customFormat="1" ht="27.6" customHeight="1" x14ac:dyDescent="0.2">
      <c r="A276" s="80">
        <v>266</v>
      </c>
      <c r="B276" s="58" t="s">
        <v>390</v>
      </c>
      <c r="C276" s="9" t="s">
        <v>213</v>
      </c>
      <c r="D276" s="71">
        <v>23825000</v>
      </c>
      <c r="E276" s="9"/>
      <c r="F276" s="9"/>
      <c r="G276" s="62"/>
      <c r="H276" s="54">
        <v>6.5</v>
      </c>
      <c r="I276" s="34"/>
      <c r="J276" s="34"/>
      <c r="K276" s="34">
        <v>0</v>
      </c>
      <c r="L276" s="8">
        <f t="shared" si="108"/>
        <v>23825000</v>
      </c>
      <c r="M276" s="8">
        <f t="shared" si="113"/>
        <v>23825000</v>
      </c>
      <c r="N276" s="90">
        <f t="shared" si="114"/>
        <v>19060000</v>
      </c>
      <c r="O276" s="8"/>
      <c r="P276" s="61"/>
      <c r="Q276" s="8">
        <v>0</v>
      </c>
      <c r="R276" s="4">
        <v>0</v>
      </c>
      <c r="S276" s="90">
        <f t="shared" si="104"/>
        <v>14295000</v>
      </c>
      <c r="T276" s="4">
        <f t="shared" si="115"/>
        <v>4765000</v>
      </c>
      <c r="U276" s="4">
        <f t="shared" si="116"/>
        <v>4765000</v>
      </c>
      <c r="V276" s="34"/>
      <c r="W276" s="34"/>
      <c r="X276" s="4">
        <v>1043731</v>
      </c>
      <c r="Y276" s="4">
        <v>1548625</v>
      </c>
      <c r="Z276" s="4">
        <f t="shared" si="105"/>
        <v>4765000</v>
      </c>
      <c r="AA276" s="4">
        <f t="shared" si="117"/>
        <v>1548625</v>
      </c>
      <c r="AB276" s="90">
        <f t="shared" si="112"/>
        <v>1238900</v>
      </c>
      <c r="AC276" s="4">
        <f t="shared" si="111"/>
        <v>929175</v>
      </c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</row>
    <row r="277" spans="1:61" s="95" customFormat="1" ht="27.6" customHeight="1" x14ac:dyDescent="0.2">
      <c r="A277" s="9">
        <v>267</v>
      </c>
      <c r="B277" s="58" t="s">
        <v>391</v>
      </c>
      <c r="C277" s="9" t="s">
        <v>213</v>
      </c>
      <c r="D277" s="71">
        <v>3197000</v>
      </c>
      <c r="E277" s="9"/>
      <c r="F277" s="9"/>
      <c r="G277" s="62"/>
      <c r="H277" s="54">
        <v>6.5</v>
      </c>
      <c r="I277" s="34"/>
      <c r="J277" s="34"/>
      <c r="K277" s="34">
        <v>0</v>
      </c>
      <c r="L277" s="8">
        <f t="shared" si="108"/>
        <v>3197000</v>
      </c>
      <c r="M277" s="8">
        <f t="shared" si="113"/>
        <v>3197000</v>
      </c>
      <c r="N277" s="90">
        <f t="shared" si="114"/>
        <v>2557600</v>
      </c>
      <c r="O277" s="8"/>
      <c r="P277" s="61"/>
      <c r="Q277" s="8">
        <v>0</v>
      </c>
      <c r="R277" s="4">
        <v>0</v>
      </c>
      <c r="S277" s="90">
        <f t="shared" si="104"/>
        <v>1918200</v>
      </c>
      <c r="T277" s="4">
        <f t="shared" si="115"/>
        <v>639400</v>
      </c>
      <c r="U277" s="4">
        <f t="shared" si="116"/>
        <v>639400</v>
      </c>
      <c r="V277" s="34"/>
      <c r="W277" s="34"/>
      <c r="X277" s="4">
        <v>136070</v>
      </c>
      <c r="Y277" s="4">
        <v>207805</v>
      </c>
      <c r="Z277" s="4">
        <f t="shared" si="105"/>
        <v>639400</v>
      </c>
      <c r="AA277" s="4">
        <f t="shared" si="117"/>
        <v>207805</v>
      </c>
      <c r="AB277" s="90">
        <f t="shared" si="112"/>
        <v>166244</v>
      </c>
      <c r="AC277" s="4">
        <f t="shared" si="111"/>
        <v>124683</v>
      </c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</row>
    <row r="278" spans="1:61" s="95" customFormat="1" ht="27.6" customHeight="1" x14ac:dyDescent="0.2">
      <c r="A278" s="80">
        <v>268</v>
      </c>
      <c r="B278" s="58" t="s">
        <v>391</v>
      </c>
      <c r="C278" s="9" t="s">
        <v>213</v>
      </c>
      <c r="D278" s="71">
        <v>17180000</v>
      </c>
      <c r="E278" s="9"/>
      <c r="F278" s="9"/>
      <c r="G278" s="62"/>
      <c r="H278" s="54">
        <v>6.5</v>
      </c>
      <c r="I278" s="34"/>
      <c r="J278" s="34"/>
      <c r="K278" s="34">
        <v>0</v>
      </c>
      <c r="L278" s="8">
        <f t="shared" si="108"/>
        <v>17180000</v>
      </c>
      <c r="M278" s="8">
        <f t="shared" si="113"/>
        <v>17180000</v>
      </c>
      <c r="N278" s="90">
        <f t="shared" si="114"/>
        <v>13744000</v>
      </c>
      <c r="O278" s="8"/>
      <c r="P278" s="61"/>
      <c r="Q278" s="8">
        <v>0</v>
      </c>
      <c r="R278" s="4">
        <v>0</v>
      </c>
      <c r="S278" s="90">
        <f t="shared" si="104"/>
        <v>10308000</v>
      </c>
      <c r="T278" s="4">
        <f t="shared" si="115"/>
        <v>3436000</v>
      </c>
      <c r="U278" s="4">
        <f t="shared" si="116"/>
        <v>3436000</v>
      </c>
      <c r="V278" s="34"/>
      <c r="W278" s="34"/>
      <c r="X278" s="4">
        <v>731209</v>
      </c>
      <c r="Y278" s="4">
        <v>1116700</v>
      </c>
      <c r="Z278" s="4">
        <f t="shared" si="105"/>
        <v>3436000</v>
      </c>
      <c r="AA278" s="4">
        <f t="shared" si="117"/>
        <v>1116700</v>
      </c>
      <c r="AB278" s="90">
        <f t="shared" si="112"/>
        <v>893360</v>
      </c>
      <c r="AC278" s="4">
        <f t="shared" si="111"/>
        <v>670020</v>
      </c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</row>
    <row r="279" spans="1:61" s="95" customFormat="1" ht="27.6" customHeight="1" x14ac:dyDescent="0.2">
      <c r="A279" s="9">
        <v>269</v>
      </c>
      <c r="B279" s="58" t="s">
        <v>392</v>
      </c>
      <c r="C279" s="9" t="s">
        <v>213</v>
      </c>
      <c r="D279" s="71">
        <v>14826000</v>
      </c>
      <c r="E279" s="9"/>
      <c r="F279" s="9"/>
      <c r="G279" s="62"/>
      <c r="H279" s="54">
        <v>6.5</v>
      </c>
      <c r="I279" s="34"/>
      <c r="J279" s="34"/>
      <c r="K279" s="34">
        <v>0</v>
      </c>
      <c r="L279" s="8">
        <f t="shared" si="108"/>
        <v>14826000</v>
      </c>
      <c r="M279" s="8">
        <f t="shared" si="113"/>
        <v>14826000</v>
      </c>
      <c r="N279" s="90">
        <f t="shared" si="114"/>
        <v>11860800</v>
      </c>
      <c r="O279" s="8"/>
      <c r="P279" s="61"/>
      <c r="Q279" s="8">
        <v>0</v>
      </c>
      <c r="R279" s="4">
        <v>0</v>
      </c>
      <c r="S279" s="90">
        <f t="shared" si="104"/>
        <v>8895600</v>
      </c>
      <c r="T279" s="4">
        <f t="shared" si="115"/>
        <v>2965200</v>
      </c>
      <c r="U279" s="4">
        <f t="shared" si="116"/>
        <v>2965200</v>
      </c>
      <c r="V279" s="34"/>
      <c r="W279" s="34"/>
      <c r="X279" s="4">
        <v>612537</v>
      </c>
      <c r="Y279" s="4">
        <v>963690</v>
      </c>
      <c r="Z279" s="4">
        <f t="shared" si="105"/>
        <v>2965200</v>
      </c>
      <c r="AA279" s="4">
        <f t="shared" si="117"/>
        <v>963690</v>
      </c>
      <c r="AB279" s="90">
        <f t="shared" si="112"/>
        <v>770952</v>
      </c>
      <c r="AC279" s="4">
        <f t="shared" si="111"/>
        <v>578214</v>
      </c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</row>
    <row r="280" spans="1:61" s="95" customFormat="1" ht="27.6" customHeight="1" x14ac:dyDescent="0.2">
      <c r="A280" s="80">
        <v>270</v>
      </c>
      <c r="B280" s="58" t="s">
        <v>393</v>
      </c>
      <c r="C280" s="9" t="s">
        <v>213</v>
      </c>
      <c r="D280" s="71">
        <v>35910000</v>
      </c>
      <c r="E280" s="9"/>
      <c r="F280" s="9"/>
      <c r="G280" s="62"/>
      <c r="H280" s="54">
        <v>6.5</v>
      </c>
      <c r="I280" s="34"/>
      <c r="J280" s="34"/>
      <c r="K280" s="34">
        <v>0</v>
      </c>
      <c r="L280" s="8">
        <f t="shared" si="108"/>
        <v>35910000</v>
      </c>
      <c r="M280" s="8">
        <f t="shared" si="113"/>
        <v>35910000</v>
      </c>
      <c r="N280" s="90">
        <f t="shared" si="114"/>
        <v>28728000</v>
      </c>
      <c r="O280" s="8"/>
      <c r="P280" s="61"/>
      <c r="Q280" s="8">
        <v>0</v>
      </c>
      <c r="R280" s="4">
        <v>0</v>
      </c>
      <c r="S280" s="90">
        <f t="shared" si="104"/>
        <v>21546000</v>
      </c>
      <c r="T280" s="4">
        <f t="shared" si="115"/>
        <v>7182000</v>
      </c>
      <c r="U280" s="4">
        <f t="shared" si="116"/>
        <v>7182000</v>
      </c>
      <c r="V280" s="34"/>
      <c r="W280" s="34"/>
      <c r="X280" s="4">
        <v>1451650</v>
      </c>
      <c r="Y280" s="4">
        <v>2334150</v>
      </c>
      <c r="Z280" s="4">
        <f t="shared" si="105"/>
        <v>7182000</v>
      </c>
      <c r="AA280" s="4">
        <f t="shared" si="117"/>
        <v>2334150</v>
      </c>
      <c r="AB280" s="90">
        <f t="shared" si="112"/>
        <v>1867320</v>
      </c>
      <c r="AC280" s="4">
        <f t="shared" si="111"/>
        <v>1400490</v>
      </c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</row>
    <row r="281" spans="1:61" s="95" customFormat="1" ht="27.6" customHeight="1" x14ac:dyDescent="0.2">
      <c r="A281" s="9">
        <v>271</v>
      </c>
      <c r="B281" s="58" t="s">
        <v>395</v>
      </c>
      <c r="C281" s="9" t="s">
        <v>213</v>
      </c>
      <c r="D281" s="71">
        <v>7825000</v>
      </c>
      <c r="E281" s="9"/>
      <c r="F281" s="9"/>
      <c r="G281" s="62"/>
      <c r="H281" s="54">
        <v>6.5</v>
      </c>
      <c r="I281" s="34"/>
      <c r="J281" s="34"/>
      <c r="K281" s="34">
        <v>0</v>
      </c>
      <c r="L281" s="8">
        <f t="shared" si="108"/>
        <v>7825000</v>
      </c>
      <c r="M281" s="8">
        <f t="shared" si="113"/>
        <v>7825000</v>
      </c>
      <c r="N281" s="90">
        <f t="shared" si="114"/>
        <v>6260000</v>
      </c>
      <c r="O281" s="8"/>
      <c r="P281" s="61"/>
      <c r="Q281" s="8">
        <v>0</v>
      </c>
      <c r="R281" s="4">
        <v>0</v>
      </c>
      <c r="S281" s="90">
        <f t="shared" si="104"/>
        <v>4695000</v>
      </c>
      <c r="T281" s="4">
        <f t="shared" si="115"/>
        <v>1565000</v>
      </c>
      <c r="U281" s="4">
        <f t="shared" si="116"/>
        <v>1565000</v>
      </c>
      <c r="V281" s="34"/>
      <c r="W281" s="34"/>
      <c r="X281" s="4">
        <v>314929</v>
      </c>
      <c r="Y281" s="4">
        <v>508625</v>
      </c>
      <c r="Z281" s="4">
        <f t="shared" si="105"/>
        <v>1565000</v>
      </c>
      <c r="AA281" s="4">
        <f t="shared" si="117"/>
        <v>508625</v>
      </c>
      <c r="AB281" s="90">
        <f t="shared" si="112"/>
        <v>406900</v>
      </c>
      <c r="AC281" s="4">
        <f t="shared" si="111"/>
        <v>305175</v>
      </c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</row>
    <row r="282" spans="1:61" s="95" customFormat="1" ht="27.6" customHeight="1" x14ac:dyDescent="0.2">
      <c r="A282" s="80">
        <v>272</v>
      </c>
      <c r="B282" s="58" t="s">
        <v>397</v>
      </c>
      <c r="C282" s="9" t="s">
        <v>213</v>
      </c>
      <c r="D282" s="71">
        <v>1732000</v>
      </c>
      <c r="E282" s="9"/>
      <c r="F282" s="9"/>
      <c r="G282" s="62"/>
      <c r="H282" s="54">
        <v>6.5</v>
      </c>
      <c r="I282" s="34"/>
      <c r="J282" s="34"/>
      <c r="K282" s="34">
        <v>0</v>
      </c>
      <c r="L282" s="8">
        <f t="shared" si="108"/>
        <v>1732000</v>
      </c>
      <c r="M282" s="8">
        <f t="shared" si="113"/>
        <v>1732000</v>
      </c>
      <c r="N282" s="90">
        <f t="shared" si="114"/>
        <v>1385600</v>
      </c>
      <c r="O282" s="8"/>
      <c r="P282" s="61"/>
      <c r="Q282" s="8">
        <v>0</v>
      </c>
      <c r="R282" s="4">
        <v>0</v>
      </c>
      <c r="S282" s="90">
        <f t="shared" si="104"/>
        <v>1039200</v>
      </c>
      <c r="T282" s="4">
        <f t="shared" si="115"/>
        <v>346400</v>
      </c>
      <c r="U282" s="4">
        <f t="shared" si="116"/>
        <v>346400</v>
      </c>
      <c r="V282" s="34"/>
      <c r="W282" s="34"/>
      <c r="X282" s="4">
        <v>67240</v>
      </c>
      <c r="Y282" s="4">
        <v>112580</v>
      </c>
      <c r="Z282" s="4">
        <f t="shared" si="105"/>
        <v>346400</v>
      </c>
      <c r="AA282" s="4">
        <f t="shared" si="117"/>
        <v>112580</v>
      </c>
      <c r="AB282" s="90">
        <f t="shared" si="112"/>
        <v>90064</v>
      </c>
      <c r="AC282" s="4">
        <f t="shared" si="111"/>
        <v>67548</v>
      </c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</row>
    <row r="283" spans="1:61" s="95" customFormat="1" ht="27.6" customHeight="1" x14ac:dyDescent="0.2">
      <c r="A283" s="9">
        <v>273</v>
      </c>
      <c r="B283" s="58" t="s">
        <v>397</v>
      </c>
      <c r="C283" s="9" t="s">
        <v>213</v>
      </c>
      <c r="D283" s="71">
        <v>17869000</v>
      </c>
      <c r="E283" s="9"/>
      <c r="F283" s="9"/>
      <c r="G283" s="62"/>
      <c r="H283" s="54">
        <v>6.5</v>
      </c>
      <c r="I283" s="34"/>
      <c r="J283" s="34"/>
      <c r="K283" s="34">
        <v>0</v>
      </c>
      <c r="L283" s="8">
        <f t="shared" si="108"/>
        <v>17869000</v>
      </c>
      <c r="M283" s="8">
        <f t="shared" si="113"/>
        <v>17869000</v>
      </c>
      <c r="N283" s="90">
        <f t="shared" si="114"/>
        <v>14295200</v>
      </c>
      <c r="O283" s="8"/>
      <c r="P283" s="61"/>
      <c r="Q283" s="8">
        <v>0</v>
      </c>
      <c r="R283" s="4">
        <v>0</v>
      </c>
      <c r="S283" s="90">
        <f t="shared" ref="S283:S336" si="118">N283-U283</f>
        <v>10721400</v>
      </c>
      <c r="T283" s="4">
        <f t="shared" si="115"/>
        <v>3573800</v>
      </c>
      <c r="U283" s="4">
        <f t="shared" si="116"/>
        <v>3573800</v>
      </c>
      <c r="V283" s="34"/>
      <c r="W283" s="34"/>
      <c r="X283" s="4">
        <v>693709</v>
      </c>
      <c r="Y283" s="4">
        <v>1161485</v>
      </c>
      <c r="Z283" s="4">
        <f t="shared" ref="Z283:Z336" si="119">U283</f>
        <v>3573800</v>
      </c>
      <c r="AA283" s="4">
        <f t="shared" si="117"/>
        <v>1161485</v>
      </c>
      <c r="AB283" s="90">
        <f t="shared" si="112"/>
        <v>929188</v>
      </c>
      <c r="AC283" s="4">
        <f t="shared" si="111"/>
        <v>696891</v>
      </c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</row>
    <row r="284" spans="1:61" s="95" customFormat="1" ht="27.6" customHeight="1" x14ac:dyDescent="0.2">
      <c r="A284" s="80">
        <v>274</v>
      </c>
      <c r="B284" s="58" t="s">
        <v>397</v>
      </c>
      <c r="C284" s="9" t="s">
        <v>213</v>
      </c>
      <c r="D284" s="71">
        <v>13629000</v>
      </c>
      <c r="E284" s="9"/>
      <c r="F284" s="9"/>
      <c r="G284" s="62"/>
      <c r="H284" s="54">
        <v>6.5</v>
      </c>
      <c r="I284" s="34"/>
      <c r="J284" s="34"/>
      <c r="K284" s="34">
        <v>0</v>
      </c>
      <c r="L284" s="8">
        <f t="shared" si="108"/>
        <v>13629000</v>
      </c>
      <c r="M284" s="8">
        <f t="shared" si="113"/>
        <v>13629000</v>
      </c>
      <c r="N284" s="90">
        <f t="shared" si="114"/>
        <v>10903200</v>
      </c>
      <c r="O284" s="8"/>
      <c r="P284" s="61"/>
      <c r="Q284" s="8">
        <v>0</v>
      </c>
      <c r="R284" s="4">
        <v>0</v>
      </c>
      <c r="S284" s="90">
        <f t="shared" si="118"/>
        <v>8177400</v>
      </c>
      <c r="T284" s="4">
        <f t="shared" si="115"/>
        <v>2725800</v>
      </c>
      <c r="U284" s="4">
        <f t="shared" si="116"/>
        <v>2725800</v>
      </c>
      <c r="V284" s="34"/>
      <c r="W284" s="34"/>
      <c r="X284" s="4">
        <v>529104</v>
      </c>
      <c r="Y284" s="4">
        <v>885885</v>
      </c>
      <c r="Z284" s="4">
        <f t="shared" si="119"/>
        <v>2725800</v>
      </c>
      <c r="AA284" s="4">
        <f t="shared" si="117"/>
        <v>885885</v>
      </c>
      <c r="AB284" s="90">
        <f t="shared" si="112"/>
        <v>708708</v>
      </c>
      <c r="AC284" s="4">
        <f t="shared" si="111"/>
        <v>531531</v>
      </c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</row>
    <row r="285" spans="1:61" s="95" customFormat="1" ht="27.6" customHeight="1" x14ac:dyDescent="0.2">
      <c r="A285" s="9">
        <v>275</v>
      </c>
      <c r="B285" s="58" t="s">
        <v>402</v>
      </c>
      <c r="C285" s="9" t="s">
        <v>213</v>
      </c>
      <c r="D285" s="71">
        <v>51369000</v>
      </c>
      <c r="E285" s="9"/>
      <c r="F285" s="9"/>
      <c r="G285" s="62"/>
      <c r="H285" s="54">
        <v>6.5</v>
      </c>
      <c r="I285" s="34"/>
      <c r="J285" s="34"/>
      <c r="K285" s="34">
        <v>0</v>
      </c>
      <c r="L285" s="8">
        <f t="shared" si="108"/>
        <v>51369000</v>
      </c>
      <c r="M285" s="8">
        <f t="shared" si="113"/>
        <v>51369000</v>
      </c>
      <c r="N285" s="90">
        <f t="shared" si="114"/>
        <v>41095200</v>
      </c>
      <c r="O285" s="8"/>
      <c r="P285" s="61"/>
      <c r="Q285" s="8">
        <v>0</v>
      </c>
      <c r="R285" s="4">
        <v>0</v>
      </c>
      <c r="S285" s="90">
        <f t="shared" si="118"/>
        <v>30821400</v>
      </c>
      <c r="T285" s="4">
        <f t="shared" si="115"/>
        <v>10273800</v>
      </c>
      <c r="U285" s="4">
        <f t="shared" si="116"/>
        <v>10273800</v>
      </c>
      <c r="V285" s="34"/>
      <c r="W285" s="34"/>
      <c r="X285" s="4">
        <v>1180080</v>
      </c>
      <c r="Y285" s="4">
        <v>3338985</v>
      </c>
      <c r="Z285" s="4">
        <f t="shared" si="119"/>
        <v>10273800</v>
      </c>
      <c r="AA285" s="4">
        <f t="shared" si="117"/>
        <v>3338985</v>
      </c>
      <c r="AB285" s="90">
        <f t="shared" si="112"/>
        <v>2671188</v>
      </c>
      <c r="AC285" s="4">
        <f t="shared" si="111"/>
        <v>2003391</v>
      </c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</row>
    <row r="286" spans="1:61" s="95" customFormat="1" ht="27.6" customHeight="1" x14ac:dyDescent="0.2">
      <c r="A286" s="80">
        <v>276</v>
      </c>
      <c r="B286" s="58" t="s">
        <v>404</v>
      </c>
      <c r="C286" s="9" t="s">
        <v>213</v>
      </c>
      <c r="D286" s="71">
        <v>1179000</v>
      </c>
      <c r="E286" s="9"/>
      <c r="F286" s="9"/>
      <c r="G286" s="62"/>
      <c r="H286" s="54">
        <v>6.5</v>
      </c>
      <c r="I286" s="34"/>
      <c r="J286" s="34"/>
      <c r="K286" s="34">
        <v>0</v>
      </c>
      <c r="L286" s="8">
        <f t="shared" si="108"/>
        <v>1179000</v>
      </c>
      <c r="M286" s="8">
        <f t="shared" si="113"/>
        <v>1179000</v>
      </c>
      <c r="N286" s="90">
        <f t="shared" si="114"/>
        <v>943200</v>
      </c>
      <c r="O286" s="8"/>
      <c r="P286" s="61"/>
      <c r="Q286" s="8">
        <v>0</v>
      </c>
      <c r="R286" s="4">
        <v>0</v>
      </c>
      <c r="S286" s="90">
        <f t="shared" si="118"/>
        <v>707400</v>
      </c>
      <c r="T286" s="4">
        <f t="shared" si="115"/>
        <v>235800</v>
      </c>
      <c r="U286" s="4">
        <f t="shared" si="116"/>
        <v>235800</v>
      </c>
      <c r="V286" s="34"/>
      <c r="W286" s="34"/>
      <c r="X286" s="4">
        <v>24145</v>
      </c>
      <c r="Y286" s="4">
        <v>76635</v>
      </c>
      <c r="Z286" s="4">
        <f t="shared" si="119"/>
        <v>235800</v>
      </c>
      <c r="AA286" s="4">
        <f t="shared" si="117"/>
        <v>76635</v>
      </c>
      <c r="AB286" s="90">
        <f t="shared" si="112"/>
        <v>61308</v>
      </c>
      <c r="AC286" s="4">
        <f t="shared" si="111"/>
        <v>45981</v>
      </c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</row>
    <row r="287" spans="1:61" s="95" customFormat="1" ht="27.6" customHeight="1" x14ac:dyDescent="0.2">
      <c r="A287" s="9">
        <v>277</v>
      </c>
      <c r="B287" s="58" t="s">
        <v>406</v>
      </c>
      <c r="C287" s="9" t="s">
        <v>213</v>
      </c>
      <c r="D287" s="71">
        <v>2016000</v>
      </c>
      <c r="E287" s="9"/>
      <c r="F287" s="9"/>
      <c r="G287" s="62"/>
      <c r="H287" s="54">
        <v>6.5</v>
      </c>
      <c r="I287" s="34"/>
      <c r="J287" s="34"/>
      <c r="K287" s="34">
        <v>0</v>
      </c>
      <c r="L287" s="8">
        <f t="shared" si="108"/>
        <v>2016000</v>
      </c>
      <c r="M287" s="8">
        <f t="shared" si="113"/>
        <v>2016000</v>
      </c>
      <c r="N287" s="90">
        <f t="shared" si="114"/>
        <v>1612800</v>
      </c>
      <c r="O287" s="8"/>
      <c r="P287" s="61"/>
      <c r="Q287" s="8">
        <v>0</v>
      </c>
      <c r="R287" s="4">
        <v>0</v>
      </c>
      <c r="S287" s="90">
        <f t="shared" si="118"/>
        <v>1209600</v>
      </c>
      <c r="T287" s="4">
        <f t="shared" si="115"/>
        <v>403200</v>
      </c>
      <c r="U287" s="4">
        <f t="shared" si="116"/>
        <v>403200</v>
      </c>
      <c r="V287" s="34"/>
      <c r="W287" s="34"/>
      <c r="X287" s="4">
        <v>38773</v>
      </c>
      <c r="Y287" s="4">
        <v>131040</v>
      </c>
      <c r="Z287" s="4">
        <f t="shared" si="119"/>
        <v>403200</v>
      </c>
      <c r="AA287" s="4">
        <f t="shared" si="117"/>
        <v>131040</v>
      </c>
      <c r="AB287" s="90">
        <f t="shared" si="112"/>
        <v>104832</v>
      </c>
      <c r="AC287" s="4">
        <f t="shared" si="111"/>
        <v>78624</v>
      </c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</row>
    <row r="288" spans="1:61" s="95" customFormat="1" ht="27.6" customHeight="1" x14ac:dyDescent="0.2">
      <c r="A288" s="80">
        <v>278</v>
      </c>
      <c r="B288" s="58" t="s">
        <v>406</v>
      </c>
      <c r="C288" s="9" t="s">
        <v>213</v>
      </c>
      <c r="D288" s="71">
        <v>6063000</v>
      </c>
      <c r="E288" s="9"/>
      <c r="F288" s="9"/>
      <c r="G288" s="62"/>
      <c r="H288" s="54">
        <v>6.5</v>
      </c>
      <c r="I288" s="34"/>
      <c r="J288" s="34"/>
      <c r="K288" s="34">
        <v>0</v>
      </c>
      <c r="L288" s="8">
        <f t="shared" si="108"/>
        <v>6063000</v>
      </c>
      <c r="M288" s="8">
        <f t="shared" si="113"/>
        <v>6063000</v>
      </c>
      <c r="N288" s="90">
        <f t="shared" si="114"/>
        <v>4850400</v>
      </c>
      <c r="O288" s="8"/>
      <c r="P288" s="61"/>
      <c r="Q288" s="8">
        <v>0</v>
      </c>
      <c r="R288" s="4">
        <v>0</v>
      </c>
      <c r="S288" s="90">
        <f t="shared" si="118"/>
        <v>3637800</v>
      </c>
      <c r="T288" s="4">
        <f t="shared" si="115"/>
        <v>1212600</v>
      </c>
      <c r="U288" s="4">
        <f t="shared" si="116"/>
        <v>1212600</v>
      </c>
      <c r="V288" s="34"/>
      <c r="W288" s="34"/>
      <c r="X288" s="4">
        <v>116609</v>
      </c>
      <c r="Y288" s="4">
        <v>394095</v>
      </c>
      <c r="Z288" s="4">
        <f t="shared" si="119"/>
        <v>1212600</v>
      </c>
      <c r="AA288" s="4">
        <f t="shared" si="117"/>
        <v>394095</v>
      </c>
      <c r="AB288" s="90">
        <f t="shared" si="112"/>
        <v>315276</v>
      </c>
      <c r="AC288" s="4">
        <f t="shared" si="111"/>
        <v>236457</v>
      </c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</row>
    <row r="289" spans="1:61" s="95" customFormat="1" ht="27.6" customHeight="1" x14ac:dyDescent="0.2">
      <c r="A289" s="9">
        <v>279</v>
      </c>
      <c r="B289" s="58" t="s">
        <v>406</v>
      </c>
      <c r="C289" s="9" t="s">
        <v>213</v>
      </c>
      <c r="D289" s="71">
        <v>7754000</v>
      </c>
      <c r="E289" s="9"/>
      <c r="F289" s="9"/>
      <c r="G289" s="62"/>
      <c r="H289" s="54">
        <v>6.5</v>
      </c>
      <c r="I289" s="34"/>
      <c r="J289" s="34"/>
      <c r="K289" s="34">
        <v>0</v>
      </c>
      <c r="L289" s="8">
        <f t="shared" si="108"/>
        <v>7754000</v>
      </c>
      <c r="M289" s="8">
        <f t="shared" si="113"/>
        <v>7754000</v>
      </c>
      <c r="N289" s="90">
        <f t="shared" si="114"/>
        <v>6203200</v>
      </c>
      <c r="O289" s="8"/>
      <c r="P289" s="61"/>
      <c r="Q289" s="8">
        <v>0</v>
      </c>
      <c r="R289" s="4">
        <v>0</v>
      </c>
      <c r="S289" s="90">
        <f t="shared" si="118"/>
        <v>4652400</v>
      </c>
      <c r="T289" s="4">
        <f t="shared" si="115"/>
        <v>1550800</v>
      </c>
      <c r="U289" s="4">
        <f t="shared" si="116"/>
        <v>1550800</v>
      </c>
      <c r="V289" s="34"/>
      <c r="W289" s="34"/>
      <c r="X289" s="4">
        <v>149132</v>
      </c>
      <c r="Y289" s="4">
        <v>504010</v>
      </c>
      <c r="Z289" s="4">
        <f t="shared" si="119"/>
        <v>1550800</v>
      </c>
      <c r="AA289" s="4">
        <f t="shared" si="117"/>
        <v>504010</v>
      </c>
      <c r="AB289" s="90">
        <f t="shared" si="112"/>
        <v>403208</v>
      </c>
      <c r="AC289" s="4">
        <f t="shared" si="111"/>
        <v>302406</v>
      </c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</row>
    <row r="290" spans="1:61" s="95" customFormat="1" ht="27.6" customHeight="1" x14ac:dyDescent="0.2">
      <c r="A290" s="80">
        <v>280</v>
      </c>
      <c r="B290" s="58" t="s">
        <v>410</v>
      </c>
      <c r="C290" s="9" t="s">
        <v>213</v>
      </c>
      <c r="D290" s="71">
        <v>21610000</v>
      </c>
      <c r="E290" s="9"/>
      <c r="F290" s="9"/>
      <c r="G290" s="62"/>
      <c r="H290" s="54">
        <v>6.5</v>
      </c>
      <c r="I290" s="34"/>
      <c r="J290" s="34"/>
      <c r="K290" s="34">
        <v>0</v>
      </c>
      <c r="L290" s="8">
        <f t="shared" si="108"/>
        <v>21610000</v>
      </c>
      <c r="M290" s="8">
        <f t="shared" si="113"/>
        <v>21610000</v>
      </c>
      <c r="N290" s="90">
        <f t="shared" si="114"/>
        <v>17288000</v>
      </c>
      <c r="O290" s="8"/>
      <c r="P290" s="61"/>
      <c r="Q290" s="8">
        <v>0</v>
      </c>
      <c r="R290" s="4">
        <v>0</v>
      </c>
      <c r="S290" s="90">
        <f t="shared" si="118"/>
        <v>12966000</v>
      </c>
      <c r="T290" s="4">
        <f t="shared" si="115"/>
        <v>4322000</v>
      </c>
      <c r="U290" s="4">
        <f t="shared" si="116"/>
        <v>4322000</v>
      </c>
      <c r="V290" s="34"/>
      <c r="W290" s="34"/>
      <c r="X290" s="4">
        <v>300172</v>
      </c>
      <c r="Y290" s="4">
        <v>1404650</v>
      </c>
      <c r="Z290" s="4">
        <f t="shared" si="119"/>
        <v>4322000</v>
      </c>
      <c r="AA290" s="4">
        <f t="shared" si="117"/>
        <v>1404650</v>
      </c>
      <c r="AB290" s="90">
        <f t="shared" si="112"/>
        <v>1123720</v>
      </c>
      <c r="AC290" s="4">
        <f t="shared" si="111"/>
        <v>842790</v>
      </c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</row>
    <row r="291" spans="1:61" s="95" customFormat="1" ht="27.6" customHeight="1" x14ac:dyDescent="0.2">
      <c r="A291" s="9">
        <v>281</v>
      </c>
      <c r="B291" s="58" t="s">
        <v>410</v>
      </c>
      <c r="C291" s="9" t="s">
        <v>213</v>
      </c>
      <c r="D291" s="71">
        <v>13882000</v>
      </c>
      <c r="E291" s="9"/>
      <c r="F291" s="9"/>
      <c r="G291" s="62"/>
      <c r="H291" s="54">
        <v>6.5</v>
      </c>
      <c r="I291" s="34"/>
      <c r="J291" s="34"/>
      <c r="K291" s="34">
        <v>0</v>
      </c>
      <c r="L291" s="8">
        <f t="shared" si="108"/>
        <v>13882000</v>
      </c>
      <c r="M291" s="8">
        <f t="shared" si="113"/>
        <v>13882000</v>
      </c>
      <c r="N291" s="90">
        <f t="shared" si="114"/>
        <v>11105600</v>
      </c>
      <c r="O291" s="8"/>
      <c r="P291" s="61"/>
      <c r="Q291" s="8">
        <v>0</v>
      </c>
      <c r="R291" s="4">
        <v>0</v>
      </c>
      <c r="S291" s="90">
        <f t="shared" si="118"/>
        <v>8329200</v>
      </c>
      <c r="T291" s="4">
        <f t="shared" si="115"/>
        <v>2776400</v>
      </c>
      <c r="U291" s="4">
        <f t="shared" si="116"/>
        <v>2776400</v>
      </c>
      <c r="V291" s="34"/>
      <c r="W291" s="34"/>
      <c r="X291" s="4">
        <v>192827</v>
      </c>
      <c r="Y291" s="4">
        <v>902330</v>
      </c>
      <c r="Z291" s="4">
        <f t="shared" si="119"/>
        <v>2776400</v>
      </c>
      <c r="AA291" s="4">
        <f t="shared" si="117"/>
        <v>902330</v>
      </c>
      <c r="AB291" s="90">
        <f t="shared" si="112"/>
        <v>721864</v>
      </c>
      <c r="AC291" s="4">
        <f t="shared" si="111"/>
        <v>541398</v>
      </c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</row>
    <row r="292" spans="1:61" s="95" customFormat="1" ht="27.6" customHeight="1" x14ac:dyDescent="0.2">
      <c r="A292" s="80">
        <v>282</v>
      </c>
      <c r="B292" s="58" t="s">
        <v>416</v>
      </c>
      <c r="C292" s="9" t="s">
        <v>213</v>
      </c>
      <c r="D292" s="59">
        <v>4510000</v>
      </c>
      <c r="E292" s="9"/>
      <c r="F292" s="9"/>
      <c r="G292" s="62"/>
      <c r="H292" s="54">
        <v>6.5</v>
      </c>
      <c r="I292" s="34"/>
      <c r="J292" s="34"/>
      <c r="K292" s="34">
        <v>0</v>
      </c>
      <c r="L292" s="8">
        <f t="shared" si="108"/>
        <v>4510000</v>
      </c>
      <c r="M292" s="8">
        <f t="shared" si="113"/>
        <v>4510000</v>
      </c>
      <c r="N292" s="90">
        <f t="shared" si="114"/>
        <v>3608000</v>
      </c>
      <c r="O292" s="18"/>
      <c r="P292" s="18"/>
      <c r="Q292" s="18">
        <v>0</v>
      </c>
      <c r="R292" s="4">
        <v>0</v>
      </c>
      <c r="S292" s="90">
        <f t="shared" si="118"/>
        <v>2706000</v>
      </c>
      <c r="T292" s="4">
        <f t="shared" si="115"/>
        <v>902000</v>
      </c>
      <c r="U292" s="4">
        <f t="shared" si="116"/>
        <v>902000</v>
      </c>
      <c r="V292" s="91"/>
      <c r="W292" s="92"/>
      <c r="X292" s="4">
        <v>51402</v>
      </c>
      <c r="Y292" s="4">
        <v>293150</v>
      </c>
      <c r="Z292" s="4">
        <f t="shared" si="119"/>
        <v>902000</v>
      </c>
      <c r="AA292" s="4">
        <f t="shared" si="117"/>
        <v>293150</v>
      </c>
      <c r="AB292" s="90">
        <f t="shared" si="112"/>
        <v>234520</v>
      </c>
      <c r="AC292" s="4">
        <f t="shared" si="111"/>
        <v>175890</v>
      </c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</row>
    <row r="293" spans="1:61" s="95" customFormat="1" ht="27.6" customHeight="1" x14ac:dyDescent="0.2">
      <c r="A293" s="9">
        <v>283</v>
      </c>
      <c r="B293" s="58" t="s">
        <v>446</v>
      </c>
      <c r="C293" s="9" t="s">
        <v>213</v>
      </c>
      <c r="D293" s="59">
        <v>1717000</v>
      </c>
      <c r="E293" s="9"/>
      <c r="F293" s="9"/>
      <c r="G293" s="62"/>
      <c r="H293" s="54">
        <v>6.5</v>
      </c>
      <c r="I293" s="34"/>
      <c r="J293" s="34"/>
      <c r="K293" s="34">
        <v>0</v>
      </c>
      <c r="L293" s="8">
        <v>1717000</v>
      </c>
      <c r="M293" s="8">
        <f t="shared" si="113"/>
        <v>1717000</v>
      </c>
      <c r="N293" s="90">
        <f t="shared" si="114"/>
        <v>1373600</v>
      </c>
      <c r="O293" s="18"/>
      <c r="P293" s="18"/>
      <c r="Q293" s="18">
        <v>0</v>
      </c>
      <c r="R293" s="4">
        <v>0</v>
      </c>
      <c r="S293" s="90">
        <f t="shared" si="118"/>
        <v>1030200</v>
      </c>
      <c r="T293" s="4">
        <f t="shared" si="115"/>
        <v>343400</v>
      </c>
      <c r="U293" s="4">
        <f t="shared" si="116"/>
        <v>343400</v>
      </c>
      <c r="V293" s="91"/>
      <c r="W293" s="92"/>
      <c r="X293" s="4">
        <v>14983</v>
      </c>
      <c r="Y293" s="4">
        <v>111605</v>
      </c>
      <c r="Z293" s="4">
        <f t="shared" si="119"/>
        <v>343400</v>
      </c>
      <c r="AA293" s="4">
        <f t="shared" si="117"/>
        <v>111605</v>
      </c>
      <c r="AB293" s="90">
        <f t="shared" si="112"/>
        <v>89284</v>
      </c>
      <c r="AC293" s="4">
        <f t="shared" si="111"/>
        <v>66963</v>
      </c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</row>
    <row r="294" spans="1:61" s="95" customFormat="1" ht="27.6" customHeight="1" x14ac:dyDescent="0.2">
      <c r="A294" s="80">
        <v>284</v>
      </c>
      <c r="B294" s="58" t="s">
        <v>446</v>
      </c>
      <c r="C294" s="9" t="s">
        <v>213</v>
      </c>
      <c r="D294" s="59">
        <v>17811000</v>
      </c>
      <c r="E294" s="9"/>
      <c r="F294" s="9"/>
      <c r="G294" s="62"/>
      <c r="H294" s="54">
        <v>6.5</v>
      </c>
      <c r="I294" s="34"/>
      <c r="J294" s="34"/>
      <c r="K294" s="34">
        <v>0</v>
      </c>
      <c r="L294" s="8">
        <v>17811000</v>
      </c>
      <c r="M294" s="8">
        <f t="shared" si="113"/>
        <v>17811000</v>
      </c>
      <c r="N294" s="90">
        <f t="shared" si="114"/>
        <v>14248800</v>
      </c>
      <c r="O294" s="18"/>
      <c r="P294" s="18"/>
      <c r="Q294" s="18">
        <v>0</v>
      </c>
      <c r="R294" s="4">
        <v>0</v>
      </c>
      <c r="S294" s="90">
        <f t="shared" si="118"/>
        <v>10686600</v>
      </c>
      <c r="T294" s="4">
        <f t="shared" si="115"/>
        <v>3562200</v>
      </c>
      <c r="U294" s="4">
        <f t="shared" si="116"/>
        <v>3562200</v>
      </c>
      <c r="V294" s="91"/>
      <c r="W294" s="92"/>
      <c r="X294" s="4">
        <v>155419</v>
      </c>
      <c r="Y294" s="4">
        <v>1157715</v>
      </c>
      <c r="Z294" s="4">
        <f t="shared" si="119"/>
        <v>3562200</v>
      </c>
      <c r="AA294" s="4">
        <f t="shared" si="117"/>
        <v>1157715</v>
      </c>
      <c r="AB294" s="90">
        <f t="shared" si="112"/>
        <v>926172</v>
      </c>
      <c r="AC294" s="4">
        <f t="shared" si="111"/>
        <v>694629</v>
      </c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</row>
    <row r="295" spans="1:61" s="95" customFormat="1" ht="27.6" customHeight="1" x14ac:dyDescent="0.2">
      <c r="A295" s="9">
        <v>285</v>
      </c>
      <c r="B295" s="58" t="s">
        <v>449</v>
      </c>
      <c r="C295" s="9" t="s">
        <v>213</v>
      </c>
      <c r="D295" s="59">
        <v>4527000</v>
      </c>
      <c r="E295" s="9"/>
      <c r="F295" s="9"/>
      <c r="G295" s="62"/>
      <c r="H295" s="54">
        <v>6.5</v>
      </c>
      <c r="I295" s="34"/>
      <c r="J295" s="34"/>
      <c r="K295" s="34">
        <v>0</v>
      </c>
      <c r="L295" s="8">
        <v>4527000</v>
      </c>
      <c r="M295" s="8">
        <f t="shared" si="113"/>
        <v>4527000</v>
      </c>
      <c r="N295" s="90">
        <f t="shared" si="114"/>
        <v>3621600</v>
      </c>
      <c r="O295" s="18"/>
      <c r="P295" s="18"/>
      <c r="Q295" s="18">
        <v>0</v>
      </c>
      <c r="R295" s="4">
        <v>0</v>
      </c>
      <c r="S295" s="90">
        <f t="shared" si="118"/>
        <v>2716200</v>
      </c>
      <c r="T295" s="4">
        <f t="shared" si="115"/>
        <v>905400</v>
      </c>
      <c r="U295" s="4">
        <f t="shared" si="116"/>
        <v>905400</v>
      </c>
      <c r="V295" s="91"/>
      <c r="W295" s="92"/>
      <c r="X295" s="4">
        <v>34666</v>
      </c>
      <c r="Y295" s="4">
        <v>294255</v>
      </c>
      <c r="Z295" s="4">
        <f t="shared" si="119"/>
        <v>905400</v>
      </c>
      <c r="AA295" s="4">
        <f t="shared" si="117"/>
        <v>294255</v>
      </c>
      <c r="AB295" s="90">
        <f t="shared" si="112"/>
        <v>235404</v>
      </c>
      <c r="AC295" s="4">
        <f t="shared" si="111"/>
        <v>176553</v>
      </c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</row>
    <row r="296" spans="1:61" s="95" customFormat="1" ht="27.6" customHeight="1" x14ac:dyDescent="0.2">
      <c r="A296" s="80">
        <v>286</v>
      </c>
      <c r="B296" s="58" t="s">
        <v>452</v>
      </c>
      <c r="C296" s="9" t="s">
        <v>213</v>
      </c>
      <c r="D296" s="59">
        <v>5476000</v>
      </c>
      <c r="E296" s="9"/>
      <c r="F296" s="9"/>
      <c r="G296" s="62"/>
      <c r="H296" s="54">
        <v>6.5</v>
      </c>
      <c r="I296" s="34"/>
      <c r="J296" s="34"/>
      <c r="K296" s="34">
        <v>0</v>
      </c>
      <c r="L296" s="8">
        <v>5476000</v>
      </c>
      <c r="M296" s="8">
        <f t="shared" ref="M296:M302" si="120">L296-R296</f>
        <v>5476000</v>
      </c>
      <c r="N296" s="90">
        <f t="shared" si="114"/>
        <v>4380800</v>
      </c>
      <c r="O296" s="18"/>
      <c r="P296" s="18"/>
      <c r="Q296" s="18">
        <v>0</v>
      </c>
      <c r="R296" s="4">
        <v>0</v>
      </c>
      <c r="S296" s="90">
        <f t="shared" si="118"/>
        <v>3285600</v>
      </c>
      <c r="T296" s="4">
        <f t="shared" si="115"/>
        <v>1095200</v>
      </c>
      <c r="U296" s="4">
        <f t="shared" si="116"/>
        <v>1095200</v>
      </c>
      <c r="V296" s="91"/>
      <c r="W296" s="92"/>
      <c r="X296" s="4">
        <v>30231</v>
      </c>
      <c r="Y296" s="4">
        <v>355940</v>
      </c>
      <c r="Z296" s="4">
        <f t="shared" si="119"/>
        <v>1095200</v>
      </c>
      <c r="AA296" s="4">
        <f t="shared" si="117"/>
        <v>355940</v>
      </c>
      <c r="AB296" s="90">
        <f t="shared" si="112"/>
        <v>284752</v>
      </c>
      <c r="AC296" s="4">
        <f t="shared" si="111"/>
        <v>213564</v>
      </c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</row>
    <row r="297" spans="1:61" s="95" customFormat="1" ht="27.6" customHeight="1" x14ac:dyDescent="0.2">
      <c r="A297" s="9">
        <v>287</v>
      </c>
      <c r="B297" s="58" t="s">
        <v>452</v>
      </c>
      <c r="C297" s="9" t="s">
        <v>213</v>
      </c>
      <c r="D297" s="59">
        <v>1600000</v>
      </c>
      <c r="E297" s="9"/>
      <c r="F297" s="9"/>
      <c r="G297" s="62"/>
      <c r="H297" s="54">
        <v>6.5</v>
      </c>
      <c r="I297" s="34"/>
      <c r="J297" s="34"/>
      <c r="K297" s="34">
        <v>0</v>
      </c>
      <c r="L297" s="8">
        <v>1600000</v>
      </c>
      <c r="M297" s="8">
        <f t="shared" si="120"/>
        <v>1600000</v>
      </c>
      <c r="N297" s="90">
        <f t="shared" si="114"/>
        <v>1280000</v>
      </c>
      <c r="O297" s="18"/>
      <c r="P297" s="18"/>
      <c r="Q297" s="18">
        <v>0</v>
      </c>
      <c r="R297" s="4">
        <v>0</v>
      </c>
      <c r="S297" s="90">
        <f t="shared" si="118"/>
        <v>960000</v>
      </c>
      <c r="T297" s="4">
        <f t="shared" si="115"/>
        <v>320000</v>
      </c>
      <c r="U297" s="4">
        <f t="shared" si="116"/>
        <v>320000</v>
      </c>
      <c r="V297" s="91"/>
      <c r="W297" s="92"/>
      <c r="X297" s="4">
        <v>8833</v>
      </c>
      <c r="Y297" s="4">
        <v>104000</v>
      </c>
      <c r="Z297" s="4">
        <f t="shared" si="119"/>
        <v>320000</v>
      </c>
      <c r="AA297" s="4">
        <f t="shared" si="117"/>
        <v>104000</v>
      </c>
      <c r="AB297" s="90">
        <f t="shared" si="112"/>
        <v>83200</v>
      </c>
      <c r="AC297" s="4">
        <f t="shared" si="111"/>
        <v>62400</v>
      </c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</row>
    <row r="298" spans="1:61" s="95" customFormat="1" ht="27.6" customHeight="1" x14ac:dyDescent="0.2">
      <c r="A298" s="80">
        <v>288</v>
      </c>
      <c r="B298" s="58" t="s">
        <v>453</v>
      </c>
      <c r="C298" s="9" t="s">
        <v>213</v>
      </c>
      <c r="D298" s="59">
        <v>2475000</v>
      </c>
      <c r="E298" s="9"/>
      <c r="F298" s="9"/>
      <c r="G298" s="62"/>
      <c r="H298" s="54">
        <v>6.5</v>
      </c>
      <c r="I298" s="34"/>
      <c r="J298" s="34"/>
      <c r="K298" s="34">
        <v>0</v>
      </c>
      <c r="L298" s="8">
        <v>2475000</v>
      </c>
      <c r="M298" s="8">
        <f t="shared" si="120"/>
        <v>2475000</v>
      </c>
      <c r="N298" s="90">
        <f t="shared" si="114"/>
        <v>1980000</v>
      </c>
      <c r="O298" s="18"/>
      <c r="P298" s="18"/>
      <c r="Q298" s="18">
        <v>0</v>
      </c>
      <c r="R298" s="4">
        <v>0</v>
      </c>
      <c r="S298" s="90">
        <f t="shared" si="118"/>
        <v>1485000</v>
      </c>
      <c r="T298" s="4">
        <f t="shared" si="115"/>
        <v>495000</v>
      </c>
      <c r="U298" s="4">
        <f t="shared" si="116"/>
        <v>495000</v>
      </c>
      <c r="V298" s="91"/>
      <c r="W298" s="92"/>
      <c r="X298" s="4">
        <v>12341</v>
      </c>
      <c r="Y298" s="4">
        <v>160875</v>
      </c>
      <c r="Z298" s="4">
        <f t="shared" si="119"/>
        <v>495000</v>
      </c>
      <c r="AA298" s="4">
        <f t="shared" si="117"/>
        <v>160875</v>
      </c>
      <c r="AB298" s="90">
        <f t="shared" si="112"/>
        <v>128700</v>
      </c>
      <c r="AC298" s="4">
        <f t="shared" si="111"/>
        <v>96525</v>
      </c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</row>
    <row r="299" spans="1:61" s="95" customFormat="1" ht="27.6" customHeight="1" x14ac:dyDescent="0.2">
      <c r="A299" s="9">
        <v>289</v>
      </c>
      <c r="B299" s="58" t="s">
        <v>453</v>
      </c>
      <c r="C299" s="9" t="s">
        <v>213</v>
      </c>
      <c r="D299" s="59">
        <v>8679000</v>
      </c>
      <c r="E299" s="9"/>
      <c r="F299" s="9"/>
      <c r="G299" s="62"/>
      <c r="H299" s="54">
        <v>6.5</v>
      </c>
      <c r="I299" s="34"/>
      <c r="J299" s="34"/>
      <c r="K299" s="34">
        <v>0</v>
      </c>
      <c r="L299" s="8">
        <v>8679000</v>
      </c>
      <c r="M299" s="8">
        <f t="shared" si="120"/>
        <v>8679000</v>
      </c>
      <c r="N299" s="90">
        <f t="shared" si="114"/>
        <v>6943200</v>
      </c>
      <c r="O299" s="18"/>
      <c r="P299" s="18"/>
      <c r="Q299" s="18">
        <v>0</v>
      </c>
      <c r="R299" s="4">
        <v>0</v>
      </c>
      <c r="S299" s="90">
        <f t="shared" si="118"/>
        <v>5207400</v>
      </c>
      <c r="T299" s="4">
        <f t="shared" si="115"/>
        <v>1735800</v>
      </c>
      <c r="U299" s="4">
        <f t="shared" si="116"/>
        <v>1735800</v>
      </c>
      <c r="V299" s="91"/>
      <c r="W299" s="92"/>
      <c r="X299" s="4">
        <v>43276</v>
      </c>
      <c r="Y299" s="4">
        <v>564135</v>
      </c>
      <c r="Z299" s="4">
        <f t="shared" si="119"/>
        <v>1735800</v>
      </c>
      <c r="AA299" s="4">
        <f t="shared" si="117"/>
        <v>564135</v>
      </c>
      <c r="AB299" s="90">
        <f t="shared" si="112"/>
        <v>451308</v>
      </c>
      <c r="AC299" s="4">
        <f t="shared" si="111"/>
        <v>338481</v>
      </c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</row>
    <row r="300" spans="1:61" s="95" customFormat="1" ht="27.6" customHeight="1" x14ac:dyDescent="0.2">
      <c r="A300" s="80">
        <v>290</v>
      </c>
      <c r="B300" s="58" t="s">
        <v>453</v>
      </c>
      <c r="C300" s="9" t="s">
        <v>213</v>
      </c>
      <c r="D300" s="59">
        <v>19443000</v>
      </c>
      <c r="E300" s="9"/>
      <c r="F300" s="9"/>
      <c r="G300" s="62"/>
      <c r="H300" s="54">
        <v>6.5</v>
      </c>
      <c r="I300" s="34"/>
      <c r="J300" s="34"/>
      <c r="K300" s="34">
        <v>0</v>
      </c>
      <c r="L300" s="8">
        <v>19443000</v>
      </c>
      <c r="M300" s="8">
        <f t="shared" si="120"/>
        <v>19443000</v>
      </c>
      <c r="N300" s="90">
        <f t="shared" si="114"/>
        <v>15554400</v>
      </c>
      <c r="O300" s="18"/>
      <c r="P300" s="18"/>
      <c r="Q300" s="18">
        <v>0</v>
      </c>
      <c r="R300" s="4">
        <v>0</v>
      </c>
      <c r="S300" s="90">
        <f t="shared" si="118"/>
        <v>11665800</v>
      </c>
      <c r="T300" s="4">
        <f t="shared" si="115"/>
        <v>3888600</v>
      </c>
      <c r="U300" s="4">
        <f t="shared" si="116"/>
        <v>3888600</v>
      </c>
      <c r="V300" s="91"/>
      <c r="W300" s="92"/>
      <c r="X300" s="4">
        <v>96949</v>
      </c>
      <c r="Y300" s="4">
        <v>1263795</v>
      </c>
      <c r="Z300" s="4">
        <f t="shared" si="119"/>
        <v>3888600</v>
      </c>
      <c r="AA300" s="4">
        <f t="shared" si="117"/>
        <v>1263795</v>
      </c>
      <c r="AB300" s="90">
        <f t="shared" si="112"/>
        <v>1011036</v>
      </c>
      <c r="AC300" s="4">
        <f t="shared" si="111"/>
        <v>758277</v>
      </c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</row>
    <row r="301" spans="1:61" s="95" customFormat="1" ht="27.6" customHeight="1" x14ac:dyDescent="0.2">
      <c r="A301" s="9">
        <v>291</v>
      </c>
      <c r="B301" s="58" t="s">
        <v>454</v>
      </c>
      <c r="C301" s="9" t="s">
        <v>213</v>
      </c>
      <c r="D301" s="59">
        <v>18763000</v>
      </c>
      <c r="E301" s="9"/>
      <c r="F301" s="9"/>
      <c r="G301" s="62"/>
      <c r="H301" s="54">
        <v>6.5</v>
      </c>
      <c r="I301" s="34"/>
      <c r="J301" s="34"/>
      <c r="K301" s="34">
        <v>0</v>
      </c>
      <c r="L301" s="8">
        <v>18763000</v>
      </c>
      <c r="M301" s="8">
        <f t="shared" si="120"/>
        <v>18763000</v>
      </c>
      <c r="N301" s="90">
        <f t="shared" si="114"/>
        <v>15010400</v>
      </c>
      <c r="O301" s="18"/>
      <c r="P301" s="18"/>
      <c r="Q301" s="18">
        <v>0</v>
      </c>
      <c r="R301" s="4">
        <v>0</v>
      </c>
      <c r="S301" s="90">
        <f t="shared" si="118"/>
        <v>11257800</v>
      </c>
      <c r="T301" s="4">
        <f t="shared" si="115"/>
        <v>3752600</v>
      </c>
      <c r="U301" s="4">
        <f t="shared" si="116"/>
        <v>3752600</v>
      </c>
      <c r="V301" s="91"/>
      <c r="W301" s="92"/>
      <c r="X301" s="4">
        <v>50120</v>
      </c>
      <c r="Y301" s="4">
        <v>1219595</v>
      </c>
      <c r="Z301" s="4">
        <f t="shared" si="119"/>
        <v>3752600</v>
      </c>
      <c r="AA301" s="4">
        <f t="shared" si="117"/>
        <v>1219595</v>
      </c>
      <c r="AB301" s="90">
        <f t="shared" si="112"/>
        <v>975676</v>
      </c>
      <c r="AC301" s="4">
        <f t="shared" si="111"/>
        <v>731757</v>
      </c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</row>
    <row r="302" spans="1:61" s="95" customFormat="1" ht="27.6" customHeight="1" x14ac:dyDescent="0.2">
      <c r="A302" s="80">
        <v>292</v>
      </c>
      <c r="B302" s="58" t="s">
        <v>456</v>
      </c>
      <c r="C302" s="9" t="s">
        <v>213</v>
      </c>
      <c r="D302" s="59">
        <v>23626000</v>
      </c>
      <c r="E302" s="9"/>
      <c r="F302" s="9"/>
      <c r="G302" s="62"/>
      <c r="H302" s="54">
        <v>6.5</v>
      </c>
      <c r="I302" s="34"/>
      <c r="J302" s="34"/>
      <c r="K302" s="34">
        <v>0</v>
      </c>
      <c r="L302" s="8">
        <v>23626000</v>
      </c>
      <c r="M302" s="8">
        <f t="shared" si="120"/>
        <v>23626000</v>
      </c>
      <c r="N302" s="90">
        <f t="shared" si="114"/>
        <v>18900800</v>
      </c>
      <c r="O302" s="18"/>
      <c r="P302" s="18"/>
      <c r="Q302" s="18">
        <v>0</v>
      </c>
      <c r="R302" s="4">
        <v>0</v>
      </c>
      <c r="S302" s="90">
        <f t="shared" si="118"/>
        <v>14175600</v>
      </c>
      <c r="T302" s="4">
        <f t="shared" si="115"/>
        <v>4725200</v>
      </c>
      <c r="U302" s="4">
        <f t="shared" si="116"/>
        <v>4725200</v>
      </c>
      <c r="V302" s="92"/>
      <c r="W302" s="92"/>
      <c r="X302" s="4">
        <v>46281</v>
      </c>
      <c r="Y302" s="4">
        <v>1535690</v>
      </c>
      <c r="Z302" s="4">
        <f t="shared" si="119"/>
        <v>4725200</v>
      </c>
      <c r="AA302" s="4">
        <f t="shared" si="117"/>
        <v>1535690</v>
      </c>
      <c r="AB302" s="90">
        <f t="shared" si="112"/>
        <v>1228552</v>
      </c>
      <c r="AC302" s="4">
        <f t="shared" si="111"/>
        <v>921414</v>
      </c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</row>
    <row r="303" spans="1:61" s="95" customFormat="1" ht="27.6" customHeight="1" x14ac:dyDescent="0.2">
      <c r="A303" s="9">
        <v>293</v>
      </c>
      <c r="B303" s="58" t="s">
        <v>465</v>
      </c>
      <c r="C303" s="9" t="s">
        <v>213</v>
      </c>
      <c r="D303" s="59">
        <v>13936000</v>
      </c>
      <c r="E303" s="9"/>
      <c r="F303" s="9"/>
      <c r="G303" s="62"/>
      <c r="H303" s="54">
        <v>6.5</v>
      </c>
      <c r="I303" s="34"/>
      <c r="J303" s="34"/>
      <c r="K303" s="34"/>
      <c r="L303" s="8">
        <v>0</v>
      </c>
      <c r="M303" s="8">
        <v>13936000</v>
      </c>
      <c r="N303" s="90">
        <f t="shared" si="114"/>
        <v>13936000</v>
      </c>
      <c r="O303" s="18"/>
      <c r="P303" s="18"/>
      <c r="Q303" s="18"/>
      <c r="R303" s="4">
        <v>0</v>
      </c>
      <c r="S303" s="90">
        <f t="shared" si="118"/>
        <v>11148800</v>
      </c>
      <c r="T303" s="4">
        <v>0</v>
      </c>
      <c r="U303" s="4">
        <f>D303/5</f>
        <v>2787200</v>
      </c>
      <c r="V303" s="92"/>
      <c r="W303" s="92"/>
      <c r="X303" s="4"/>
      <c r="Y303" s="4">
        <v>876059</v>
      </c>
      <c r="Z303" s="4">
        <f t="shared" si="119"/>
        <v>2787200</v>
      </c>
      <c r="AA303" s="4">
        <v>905840</v>
      </c>
      <c r="AB303" s="90">
        <f t="shared" si="112"/>
        <v>905840</v>
      </c>
      <c r="AC303" s="4">
        <f t="shared" si="111"/>
        <v>724672</v>
      </c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</row>
    <row r="304" spans="1:61" s="95" customFormat="1" ht="27.6" customHeight="1" x14ac:dyDescent="0.2">
      <c r="A304" s="80">
        <v>294</v>
      </c>
      <c r="B304" s="58" t="s">
        <v>465</v>
      </c>
      <c r="C304" s="9" t="s">
        <v>213</v>
      </c>
      <c r="D304" s="59">
        <v>33736000</v>
      </c>
      <c r="E304" s="9"/>
      <c r="F304" s="9"/>
      <c r="G304" s="62"/>
      <c r="H304" s="54">
        <v>6.5</v>
      </c>
      <c r="I304" s="34"/>
      <c r="J304" s="34"/>
      <c r="K304" s="34"/>
      <c r="L304" s="8">
        <v>0</v>
      </c>
      <c r="M304" s="8">
        <v>33736000</v>
      </c>
      <c r="N304" s="90">
        <f t="shared" si="114"/>
        <v>33736000</v>
      </c>
      <c r="O304" s="18"/>
      <c r="P304" s="18"/>
      <c r="Q304" s="18"/>
      <c r="R304" s="4">
        <v>0</v>
      </c>
      <c r="S304" s="90">
        <f t="shared" si="118"/>
        <v>26988800</v>
      </c>
      <c r="T304" s="4">
        <v>0</v>
      </c>
      <c r="U304" s="4">
        <f t="shared" ref="U304:U336" si="121">D304/5</f>
        <v>6747200</v>
      </c>
      <c r="V304" s="92"/>
      <c r="W304" s="92"/>
      <c r="X304" s="4"/>
      <c r="Y304" s="4">
        <v>2120747</v>
      </c>
      <c r="Z304" s="4">
        <f t="shared" si="119"/>
        <v>6747200</v>
      </c>
      <c r="AA304" s="4">
        <v>2192840</v>
      </c>
      <c r="AB304" s="90">
        <f t="shared" si="112"/>
        <v>2192840</v>
      </c>
      <c r="AC304" s="4">
        <f t="shared" si="111"/>
        <v>1754272</v>
      </c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</row>
    <row r="305" spans="1:61" s="95" customFormat="1" ht="27.6" customHeight="1" x14ac:dyDescent="0.2">
      <c r="A305" s="9">
        <v>295</v>
      </c>
      <c r="B305" s="58" t="s">
        <v>466</v>
      </c>
      <c r="C305" s="9" t="s">
        <v>213</v>
      </c>
      <c r="D305" s="59">
        <v>1012000</v>
      </c>
      <c r="E305" s="9"/>
      <c r="F305" s="9"/>
      <c r="G305" s="62"/>
      <c r="H305" s="54">
        <v>6.5</v>
      </c>
      <c r="I305" s="34"/>
      <c r="J305" s="34"/>
      <c r="K305" s="34"/>
      <c r="L305" s="8">
        <v>0</v>
      </c>
      <c r="M305" s="8">
        <v>1012000</v>
      </c>
      <c r="N305" s="90">
        <f t="shared" si="114"/>
        <v>1012000</v>
      </c>
      <c r="O305" s="18"/>
      <c r="P305" s="18"/>
      <c r="Q305" s="18"/>
      <c r="R305" s="4">
        <v>0</v>
      </c>
      <c r="S305" s="90">
        <f t="shared" si="118"/>
        <v>809600</v>
      </c>
      <c r="T305" s="4">
        <v>0</v>
      </c>
      <c r="U305" s="4">
        <f t="shared" si="121"/>
        <v>202400</v>
      </c>
      <c r="V305" s="92"/>
      <c r="W305" s="92"/>
      <c r="X305" s="4"/>
      <c r="Y305" s="4">
        <v>60914</v>
      </c>
      <c r="Z305" s="4">
        <f t="shared" si="119"/>
        <v>202400</v>
      </c>
      <c r="AA305" s="4">
        <v>65780</v>
      </c>
      <c r="AB305" s="90">
        <f t="shared" si="112"/>
        <v>65780</v>
      </c>
      <c r="AC305" s="4">
        <f t="shared" si="111"/>
        <v>52624</v>
      </c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</row>
    <row r="306" spans="1:61" s="95" customFormat="1" ht="27.6" customHeight="1" x14ac:dyDescent="0.2">
      <c r="A306" s="80">
        <v>296</v>
      </c>
      <c r="B306" s="58" t="s">
        <v>466</v>
      </c>
      <c r="C306" s="9" t="s">
        <v>213</v>
      </c>
      <c r="D306" s="59">
        <v>4327000</v>
      </c>
      <c r="E306" s="9"/>
      <c r="F306" s="9"/>
      <c r="G306" s="62"/>
      <c r="H306" s="54">
        <v>6.5</v>
      </c>
      <c r="I306" s="34"/>
      <c r="J306" s="34"/>
      <c r="K306" s="34"/>
      <c r="L306" s="8">
        <v>0</v>
      </c>
      <c r="M306" s="8">
        <v>4327000</v>
      </c>
      <c r="N306" s="90">
        <f t="shared" si="114"/>
        <v>4327000</v>
      </c>
      <c r="O306" s="18"/>
      <c r="P306" s="18"/>
      <c r="Q306" s="18"/>
      <c r="R306" s="4">
        <v>0</v>
      </c>
      <c r="S306" s="90">
        <f t="shared" si="118"/>
        <v>3461600</v>
      </c>
      <c r="T306" s="4">
        <v>0</v>
      </c>
      <c r="U306" s="4">
        <f t="shared" si="121"/>
        <v>865400</v>
      </c>
      <c r="V306" s="92"/>
      <c r="W306" s="92"/>
      <c r="X306" s="4"/>
      <c r="Y306" s="4">
        <v>260450</v>
      </c>
      <c r="Z306" s="4">
        <f t="shared" si="119"/>
        <v>865400</v>
      </c>
      <c r="AA306" s="4">
        <v>281255</v>
      </c>
      <c r="AB306" s="90">
        <f t="shared" si="112"/>
        <v>281255</v>
      </c>
      <c r="AC306" s="4">
        <f t="shared" si="111"/>
        <v>225004</v>
      </c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</row>
    <row r="307" spans="1:61" s="95" customFormat="1" ht="27.6" customHeight="1" x14ac:dyDescent="0.2">
      <c r="A307" s="9">
        <v>297</v>
      </c>
      <c r="B307" s="58" t="s">
        <v>466</v>
      </c>
      <c r="C307" s="9" t="s">
        <v>213</v>
      </c>
      <c r="D307" s="59">
        <v>4539000</v>
      </c>
      <c r="E307" s="9"/>
      <c r="F307" s="9"/>
      <c r="G307" s="62"/>
      <c r="H307" s="54">
        <v>6.5</v>
      </c>
      <c r="I307" s="34"/>
      <c r="J307" s="34"/>
      <c r="K307" s="34"/>
      <c r="L307" s="8">
        <v>0</v>
      </c>
      <c r="M307" s="8">
        <v>4539000</v>
      </c>
      <c r="N307" s="90">
        <f t="shared" si="114"/>
        <v>4539000</v>
      </c>
      <c r="O307" s="18"/>
      <c r="P307" s="18"/>
      <c r="Q307" s="18"/>
      <c r="R307" s="4">
        <v>0</v>
      </c>
      <c r="S307" s="90">
        <f t="shared" si="118"/>
        <v>3631200</v>
      </c>
      <c r="T307" s="4">
        <v>0</v>
      </c>
      <c r="U307" s="4">
        <f t="shared" si="121"/>
        <v>907800</v>
      </c>
      <c r="V307" s="92"/>
      <c r="W307" s="92"/>
      <c r="X307" s="4"/>
      <c r="Y307" s="4">
        <v>273210</v>
      </c>
      <c r="Z307" s="4">
        <f t="shared" si="119"/>
        <v>907800</v>
      </c>
      <c r="AA307" s="4">
        <v>295035</v>
      </c>
      <c r="AB307" s="90">
        <f t="shared" si="112"/>
        <v>295035</v>
      </c>
      <c r="AC307" s="4">
        <f t="shared" si="111"/>
        <v>236028</v>
      </c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</row>
    <row r="308" spans="1:61" s="95" customFormat="1" ht="27.6" customHeight="1" x14ac:dyDescent="0.2">
      <c r="A308" s="80">
        <v>298</v>
      </c>
      <c r="B308" s="58" t="s">
        <v>469</v>
      </c>
      <c r="C308" s="9" t="s">
        <v>213</v>
      </c>
      <c r="D308" s="59">
        <v>1808000</v>
      </c>
      <c r="E308" s="9"/>
      <c r="F308" s="9"/>
      <c r="G308" s="62"/>
      <c r="H308" s="54">
        <v>6.5</v>
      </c>
      <c r="I308" s="34"/>
      <c r="J308" s="34"/>
      <c r="K308" s="34"/>
      <c r="L308" s="8">
        <v>0</v>
      </c>
      <c r="M308" s="8">
        <v>1808000</v>
      </c>
      <c r="N308" s="90">
        <f t="shared" si="114"/>
        <v>1808000</v>
      </c>
      <c r="O308" s="18"/>
      <c r="P308" s="18"/>
      <c r="Q308" s="18"/>
      <c r="R308" s="4">
        <v>0</v>
      </c>
      <c r="S308" s="90">
        <f t="shared" si="118"/>
        <v>1446400</v>
      </c>
      <c r="T308" s="4">
        <v>0</v>
      </c>
      <c r="U308" s="4">
        <f t="shared" si="121"/>
        <v>361600</v>
      </c>
      <c r="V308" s="92"/>
      <c r="W308" s="92"/>
      <c r="X308" s="4"/>
      <c r="Y308" s="4">
        <v>82425</v>
      </c>
      <c r="Z308" s="4">
        <f t="shared" si="119"/>
        <v>361600</v>
      </c>
      <c r="AA308" s="4">
        <v>117520</v>
      </c>
      <c r="AB308" s="90">
        <f t="shared" si="112"/>
        <v>117520</v>
      </c>
      <c r="AC308" s="4">
        <f t="shared" si="111"/>
        <v>94016</v>
      </c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</row>
    <row r="309" spans="1:61" s="95" customFormat="1" ht="27.6" customHeight="1" x14ac:dyDescent="0.2">
      <c r="A309" s="9">
        <v>299</v>
      </c>
      <c r="B309" s="58" t="s">
        <v>480</v>
      </c>
      <c r="C309" s="9" t="s">
        <v>213</v>
      </c>
      <c r="D309" s="59">
        <v>36053000</v>
      </c>
      <c r="E309" s="9"/>
      <c r="F309" s="9"/>
      <c r="G309" s="62"/>
      <c r="H309" s="54">
        <v>6.5</v>
      </c>
      <c r="I309" s="34"/>
      <c r="J309" s="34"/>
      <c r="K309" s="34"/>
      <c r="L309" s="8">
        <v>0</v>
      </c>
      <c r="M309" s="8">
        <v>36053000</v>
      </c>
      <c r="N309" s="90">
        <f t="shared" si="114"/>
        <v>36053000</v>
      </c>
      <c r="O309" s="18"/>
      <c r="P309" s="18"/>
      <c r="Q309" s="18"/>
      <c r="R309" s="4">
        <v>0</v>
      </c>
      <c r="S309" s="90">
        <f t="shared" si="118"/>
        <v>28842400</v>
      </c>
      <c r="T309" s="4">
        <v>0</v>
      </c>
      <c r="U309" s="4">
        <f t="shared" si="121"/>
        <v>7210600</v>
      </c>
      <c r="V309" s="92"/>
      <c r="W309" s="92"/>
      <c r="X309" s="4"/>
      <c r="Y309" s="4">
        <v>808970</v>
      </c>
      <c r="Z309" s="4">
        <f t="shared" si="119"/>
        <v>7210600</v>
      </c>
      <c r="AA309" s="4">
        <v>2343445</v>
      </c>
      <c r="AB309" s="90">
        <f t="shared" si="112"/>
        <v>2343445</v>
      </c>
      <c r="AC309" s="4">
        <f t="shared" si="111"/>
        <v>1874756</v>
      </c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</row>
    <row r="310" spans="1:61" s="95" customFormat="1" ht="27.6" customHeight="1" x14ac:dyDescent="0.2">
      <c r="A310" s="80">
        <v>300</v>
      </c>
      <c r="B310" s="58" t="s">
        <v>481</v>
      </c>
      <c r="C310" s="9" t="s">
        <v>213</v>
      </c>
      <c r="D310" s="59">
        <v>2209000</v>
      </c>
      <c r="E310" s="9"/>
      <c r="F310" s="9"/>
      <c r="G310" s="62"/>
      <c r="H310" s="54">
        <v>6.5</v>
      </c>
      <c r="I310" s="34"/>
      <c r="J310" s="34"/>
      <c r="K310" s="34"/>
      <c r="L310" s="8">
        <v>0</v>
      </c>
      <c r="M310" s="8">
        <v>2209000</v>
      </c>
      <c r="N310" s="90">
        <f t="shared" si="114"/>
        <v>2209000</v>
      </c>
      <c r="O310" s="18"/>
      <c r="P310" s="18"/>
      <c r="Q310" s="18"/>
      <c r="R310" s="4">
        <v>0</v>
      </c>
      <c r="S310" s="90">
        <f t="shared" si="118"/>
        <v>1767200</v>
      </c>
      <c r="T310" s="4">
        <v>0</v>
      </c>
      <c r="U310" s="4">
        <f t="shared" si="121"/>
        <v>441800</v>
      </c>
      <c r="V310" s="92"/>
      <c r="W310" s="92"/>
      <c r="X310" s="4"/>
      <c r="Y310" s="4">
        <v>47993</v>
      </c>
      <c r="Z310" s="4">
        <f t="shared" si="119"/>
        <v>441800</v>
      </c>
      <c r="AA310" s="4">
        <v>143585</v>
      </c>
      <c r="AB310" s="90">
        <f t="shared" si="112"/>
        <v>143585</v>
      </c>
      <c r="AC310" s="4">
        <f t="shared" si="111"/>
        <v>114868</v>
      </c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</row>
    <row r="311" spans="1:61" s="95" customFormat="1" ht="27.6" customHeight="1" x14ac:dyDescent="0.2">
      <c r="A311" s="9">
        <v>301</v>
      </c>
      <c r="B311" s="58" t="s">
        <v>482</v>
      </c>
      <c r="C311" s="9" t="s">
        <v>213</v>
      </c>
      <c r="D311" s="59">
        <v>504000</v>
      </c>
      <c r="E311" s="9"/>
      <c r="F311" s="9"/>
      <c r="G311" s="62"/>
      <c r="H311" s="54">
        <v>6.5</v>
      </c>
      <c r="I311" s="34"/>
      <c r="J311" s="34"/>
      <c r="K311" s="34"/>
      <c r="L311" s="8">
        <v>0</v>
      </c>
      <c r="M311" s="8">
        <v>504000</v>
      </c>
      <c r="N311" s="90">
        <f t="shared" si="114"/>
        <v>504000</v>
      </c>
      <c r="O311" s="18"/>
      <c r="P311" s="18"/>
      <c r="Q311" s="18"/>
      <c r="R311" s="4">
        <v>0</v>
      </c>
      <c r="S311" s="90">
        <f t="shared" si="118"/>
        <v>403200</v>
      </c>
      <c r="T311" s="4">
        <v>0</v>
      </c>
      <c r="U311" s="4">
        <f t="shared" si="121"/>
        <v>100800</v>
      </c>
      <c r="V311" s="92"/>
      <c r="W311" s="92"/>
      <c r="X311" s="4"/>
      <c r="Y311" s="4">
        <v>10860</v>
      </c>
      <c r="Z311" s="4">
        <f t="shared" si="119"/>
        <v>100800</v>
      </c>
      <c r="AA311" s="4">
        <v>32760</v>
      </c>
      <c r="AB311" s="90">
        <f t="shared" si="112"/>
        <v>32760</v>
      </c>
      <c r="AC311" s="4">
        <f t="shared" si="111"/>
        <v>26208</v>
      </c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</row>
    <row r="312" spans="1:61" s="95" customFormat="1" ht="27.6" customHeight="1" x14ac:dyDescent="0.2">
      <c r="A312" s="80">
        <v>302</v>
      </c>
      <c r="B312" s="58" t="s">
        <v>487</v>
      </c>
      <c r="C312" s="9" t="s">
        <v>213</v>
      </c>
      <c r="D312" s="59">
        <v>26757000</v>
      </c>
      <c r="E312" s="9"/>
      <c r="F312" s="9"/>
      <c r="G312" s="62"/>
      <c r="H312" s="54">
        <v>6.5</v>
      </c>
      <c r="I312" s="34"/>
      <c r="J312" s="34"/>
      <c r="K312" s="34"/>
      <c r="L312" s="8">
        <v>0</v>
      </c>
      <c r="M312" s="8">
        <v>26757000</v>
      </c>
      <c r="N312" s="90">
        <f t="shared" si="114"/>
        <v>26757000</v>
      </c>
      <c r="O312" s="18"/>
      <c r="P312" s="18"/>
      <c r="Q312" s="18"/>
      <c r="R312" s="4">
        <v>0</v>
      </c>
      <c r="S312" s="90">
        <f t="shared" si="118"/>
        <v>21405600</v>
      </c>
      <c r="T312" s="4">
        <v>0</v>
      </c>
      <c r="U312" s="4">
        <f t="shared" si="121"/>
        <v>5351400</v>
      </c>
      <c r="V312" s="92"/>
      <c r="W312" s="92"/>
      <c r="X312" s="4"/>
      <c r="Y312" s="4">
        <v>443140</v>
      </c>
      <c r="Z312" s="4">
        <f t="shared" si="119"/>
        <v>5351400</v>
      </c>
      <c r="AA312" s="4">
        <v>1739205</v>
      </c>
      <c r="AB312" s="90">
        <f t="shared" si="112"/>
        <v>1739205</v>
      </c>
      <c r="AC312" s="4">
        <f t="shared" si="111"/>
        <v>1391364</v>
      </c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</row>
    <row r="313" spans="1:61" s="95" customFormat="1" ht="27.6" customHeight="1" x14ac:dyDescent="0.2">
      <c r="A313" s="9">
        <v>303</v>
      </c>
      <c r="B313" s="58" t="s">
        <v>487</v>
      </c>
      <c r="C313" s="9" t="s">
        <v>213</v>
      </c>
      <c r="D313" s="59">
        <v>28621000</v>
      </c>
      <c r="E313" s="9"/>
      <c r="F313" s="9"/>
      <c r="G313" s="62"/>
      <c r="H313" s="54">
        <v>6.5</v>
      </c>
      <c r="I313" s="34"/>
      <c r="J313" s="34"/>
      <c r="K313" s="34"/>
      <c r="L313" s="8">
        <v>0</v>
      </c>
      <c r="M313" s="8">
        <v>28621000</v>
      </c>
      <c r="N313" s="90">
        <f t="shared" si="114"/>
        <v>28621000</v>
      </c>
      <c r="O313" s="18"/>
      <c r="P313" s="18"/>
      <c r="Q313" s="18"/>
      <c r="R313" s="4">
        <v>0</v>
      </c>
      <c r="S313" s="90">
        <f t="shared" si="118"/>
        <v>22896800</v>
      </c>
      <c r="T313" s="4">
        <v>0</v>
      </c>
      <c r="U313" s="4">
        <f t="shared" si="121"/>
        <v>5724200</v>
      </c>
      <c r="V313" s="92"/>
      <c r="W313" s="92"/>
      <c r="X313" s="4"/>
      <c r="Y313" s="4">
        <v>474011</v>
      </c>
      <c r="Z313" s="4">
        <f t="shared" si="119"/>
        <v>5724200</v>
      </c>
      <c r="AA313" s="4">
        <v>1860365</v>
      </c>
      <c r="AB313" s="90">
        <f t="shared" si="112"/>
        <v>1860365</v>
      </c>
      <c r="AC313" s="4">
        <f t="shared" si="111"/>
        <v>1488292</v>
      </c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</row>
    <row r="314" spans="1:61" s="95" customFormat="1" ht="27.6" customHeight="1" x14ac:dyDescent="0.2">
      <c r="A314" s="80">
        <v>304</v>
      </c>
      <c r="B314" s="58" t="s">
        <v>487</v>
      </c>
      <c r="C314" s="9" t="s">
        <v>213</v>
      </c>
      <c r="D314" s="59">
        <v>6774000</v>
      </c>
      <c r="E314" s="9"/>
      <c r="F314" s="9"/>
      <c r="G314" s="62"/>
      <c r="H314" s="54">
        <v>6.5</v>
      </c>
      <c r="I314" s="34"/>
      <c r="J314" s="34"/>
      <c r="K314" s="34"/>
      <c r="L314" s="8">
        <v>0</v>
      </c>
      <c r="M314" s="8">
        <v>6774000</v>
      </c>
      <c r="N314" s="90">
        <f t="shared" si="114"/>
        <v>6774000</v>
      </c>
      <c r="O314" s="18"/>
      <c r="P314" s="18"/>
      <c r="Q314" s="18"/>
      <c r="R314" s="4">
        <v>0</v>
      </c>
      <c r="S314" s="90">
        <f t="shared" si="118"/>
        <v>5419200</v>
      </c>
      <c r="T314" s="4">
        <v>0</v>
      </c>
      <c r="U314" s="4">
        <f t="shared" si="121"/>
        <v>1354800</v>
      </c>
      <c r="V314" s="92"/>
      <c r="W314" s="92"/>
      <c r="X314" s="4"/>
      <c r="Y314" s="4">
        <v>112189</v>
      </c>
      <c r="Z314" s="4">
        <f t="shared" si="119"/>
        <v>1354800</v>
      </c>
      <c r="AA314" s="4">
        <v>440310</v>
      </c>
      <c r="AB314" s="90">
        <f t="shared" si="112"/>
        <v>440310</v>
      </c>
      <c r="AC314" s="4">
        <f t="shared" si="111"/>
        <v>352248</v>
      </c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</row>
    <row r="315" spans="1:61" s="95" customFormat="1" ht="27.6" customHeight="1" x14ac:dyDescent="0.2">
      <c r="A315" s="9">
        <v>305</v>
      </c>
      <c r="B315" s="58" t="s">
        <v>488</v>
      </c>
      <c r="C315" s="9" t="s">
        <v>213</v>
      </c>
      <c r="D315" s="59">
        <v>32099000</v>
      </c>
      <c r="E315" s="9"/>
      <c r="F315" s="9"/>
      <c r="G315" s="62"/>
      <c r="H315" s="54">
        <v>6.5</v>
      </c>
      <c r="I315" s="34"/>
      <c r="J315" s="34"/>
      <c r="K315" s="34"/>
      <c r="L315" s="8">
        <v>0</v>
      </c>
      <c r="M315" s="8">
        <v>32099000</v>
      </c>
      <c r="N315" s="90">
        <f t="shared" si="114"/>
        <v>32099000</v>
      </c>
      <c r="O315" s="18"/>
      <c r="P315" s="18"/>
      <c r="Q315" s="18"/>
      <c r="R315" s="4">
        <v>0</v>
      </c>
      <c r="S315" s="90">
        <f t="shared" si="118"/>
        <v>25679200</v>
      </c>
      <c r="T315" s="4">
        <v>0</v>
      </c>
      <c r="U315" s="4">
        <f t="shared" si="121"/>
        <v>6419800</v>
      </c>
      <c r="V315" s="92"/>
      <c r="W315" s="92"/>
      <c r="X315" s="4"/>
      <c r="Y315" s="4">
        <v>525896</v>
      </c>
      <c r="Z315" s="4">
        <f t="shared" si="119"/>
        <v>6419800</v>
      </c>
      <c r="AA315" s="4">
        <v>2086435</v>
      </c>
      <c r="AB315" s="90">
        <f t="shared" si="112"/>
        <v>2086435</v>
      </c>
      <c r="AC315" s="4">
        <f t="shared" si="111"/>
        <v>1669148</v>
      </c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</row>
    <row r="316" spans="1:61" s="95" customFormat="1" ht="27.6" customHeight="1" x14ac:dyDescent="0.2">
      <c r="A316" s="80">
        <v>306</v>
      </c>
      <c r="B316" s="58" t="s">
        <v>488</v>
      </c>
      <c r="C316" s="9" t="s">
        <v>213</v>
      </c>
      <c r="D316" s="59">
        <v>8696000</v>
      </c>
      <c r="E316" s="9"/>
      <c r="F316" s="9"/>
      <c r="G316" s="62"/>
      <c r="H316" s="54">
        <v>6.5</v>
      </c>
      <c r="I316" s="34"/>
      <c r="J316" s="34"/>
      <c r="K316" s="34"/>
      <c r="L316" s="8">
        <v>0</v>
      </c>
      <c r="M316" s="8">
        <v>8696000</v>
      </c>
      <c r="N316" s="90">
        <f t="shared" si="114"/>
        <v>8696000</v>
      </c>
      <c r="O316" s="18"/>
      <c r="P316" s="18"/>
      <c r="Q316" s="18"/>
      <c r="R316" s="4">
        <v>0</v>
      </c>
      <c r="S316" s="90">
        <f t="shared" si="118"/>
        <v>6956800</v>
      </c>
      <c r="T316" s="4">
        <v>0</v>
      </c>
      <c r="U316" s="4">
        <f t="shared" si="121"/>
        <v>1739200</v>
      </c>
      <c r="V316" s="92"/>
      <c r="W316" s="92"/>
      <c r="X316" s="4"/>
      <c r="Y316" s="4">
        <v>142471</v>
      </c>
      <c r="Z316" s="4">
        <f t="shared" si="119"/>
        <v>1739200</v>
      </c>
      <c r="AA316" s="4">
        <v>565240</v>
      </c>
      <c r="AB316" s="90">
        <f t="shared" si="112"/>
        <v>565240</v>
      </c>
      <c r="AC316" s="4">
        <f t="shared" si="111"/>
        <v>452192</v>
      </c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</row>
    <row r="317" spans="1:61" s="95" customFormat="1" ht="27.6" customHeight="1" x14ac:dyDescent="0.2">
      <c r="A317" s="9">
        <v>307</v>
      </c>
      <c r="B317" s="58" t="s">
        <v>491</v>
      </c>
      <c r="C317" s="9" t="s">
        <v>213</v>
      </c>
      <c r="D317" s="59">
        <v>11783000</v>
      </c>
      <c r="E317" s="9"/>
      <c r="F317" s="9"/>
      <c r="G317" s="62"/>
      <c r="H317" s="54">
        <v>6.5</v>
      </c>
      <c r="I317" s="34"/>
      <c r="J317" s="34"/>
      <c r="K317" s="34"/>
      <c r="L317" s="8">
        <v>0</v>
      </c>
      <c r="M317" s="8">
        <v>11783000</v>
      </c>
      <c r="N317" s="90">
        <f t="shared" si="114"/>
        <v>11783000</v>
      </c>
      <c r="O317" s="18"/>
      <c r="P317" s="18"/>
      <c r="Q317" s="18"/>
      <c r="R317" s="4">
        <v>0</v>
      </c>
      <c r="S317" s="90">
        <f t="shared" si="118"/>
        <v>9426400</v>
      </c>
      <c r="T317" s="4">
        <v>0</v>
      </c>
      <c r="U317" s="4">
        <f t="shared" si="121"/>
        <v>2356600</v>
      </c>
      <c r="V317" s="92"/>
      <c r="W317" s="92"/>
      <c r="X317" s="4"/>
      <c r="Y317" s="4">
        <v>155277</v>
      </c>
      <c r="Z317" s="4">
        <f t="shared" si="119"/>
        <v>2356600</v>
      </c>
      <c r="AA317" s="4">
        <v>765895</v>
      </c>
      <c r="AB317" s="90">
        <f t="shared" si="112"/>
        <v>765895</v>
      </c>
      <c r="AC317" s="4">
        <f t="shared" si="111"/>
        <v>612716</v>
      </c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</row>
    <row r="318" spans="1:61" s="95" customFormat="1" ht="27.6" customHeight="1" x14ac:dyDescent="0.2">
      <c r="A318" s="80">
        <v>308</v>
      </c>
      <c r="B318" s="58" t="s">
        <v>493</v>
      </c>
      <c r="C318" s="9" t="s">
        <v>213</v>
      </c>
      <c r="D318" s="59">
        <v>7945000</v>
      </c>
      <c r="E318" s="9"/>
      <c r="F318" s="9"/>
      <c r="G318" s="62"/>
      <c r="H318" s="54">
        <v>6.5</v>
      </c>
      <c r="I318" s="34"/>
      <c r="J318" s="34"/>
      <c r="K318" s="34"/>
      <c r="L318" s="8">
        <v>0</v>
      </c>
      <c r="M318" s="8">
        <v>7945000</v>
      </c>
      <c r="N318" s="90">
        <f t="shared" si="114"/>
        <v>7945000</v>
      </c>
      <c r="O318" s="18"/>
      <c r="P318" s="18"/>
      <c r="Q318" s="18"/>
      <c r="R318" s="4">
        <v>0</v>
      </c>
      <c r="S318" s="90">
        <f t="shared" si="118"/>
        <v>6356000</v>
      </c>
      <c r="T318" s="4">
        <v>0</v>
      </c>
      <c r="U318" s="4">
        <f t="shared" si="121"/>
        <v>1589000</v>
      </c>
      <c r="V318" s="92"/>
      <c r="W318" s="92"/>
      <c r="X318" s="4"/>
      <c r="Y318" s="4">
        <v>94796</v>
      </c>
      <c r="Z318" s="4">
        <f t="shared" si="119"/>
        <v>1589000</v>
      </c>
      <c r="AA318" s="4">
        <v>516425</v>
      </c>
      <c r="AB318" s="90">
        <f t="shared" si="112"/>
        <v>516425</v>
      </c>
      <c r="AC318" s="4">
        <f t="shared" si="111"/>
        <v>413140</v>
      </c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</row>
    <row r="319" spans="1:61" s="95" customFormat="1" ht="27.6" customHeight="1" x14ac:dyDescent="0.2">
      <c r="A319" s="9">
        <v>309</v>
      </c>
      <c r="B319" s="58" t="s">
        <v>543</v>
      </c>
      <c r="C319" s="9" t="s">
        <v>213</v>
      </c>
      <c r="D319" s="59">
        <v>5826000</v>
      </c>
      <c r="E319" s="9"/>
      <c r="F319" s="9"/>
      <c r="G319" s="62"/>
      <c r="H319" s="54">
        <v>6.5</v>
      </c>
      <c r="I319" s="34"/>
      <c r="J319" s="34"/>
      <c r="K319" s="34"/>
      <c r="L319" s="8">
        <v>0</v>
      </c>
      <c r="M319" s="8">
        <v>5826000</v>
      </c>
      <c r="N319" s="90">
        <f t="shared" si="114"/>
        <v>5826000</v>
      </c>
      <c r="O319" s="18"/>
      <c r="P319" s="18"/>
      <c r="Q319" s="18"/>
      <c r="R319" s="4">
        <v>0</v>
      </c>
      <c r="S319" s="90">
        <f t="shared" si="118"/>
        <v>4660800</v>
      </c>
      <c r="T319" s="4">
        <v>0</v>
      </c>
      <c r="U319" s="4">
        <f t="shared" si="121"/>
        <v>1165200</v>
      </c>
      <c r="V319" s="92"/>
      <c r="W319" s="92"/>
      <c r="X319" s="4"/>
      <c r="Y319" s="4">
        <v>40463</v>
      </c>
      <c r="Z319" s="4">
        <f t="shared" si="119"/>
        <v>1165200</v>
      </c>
      <c r="AA319" s="4">
        <v>378690</v>
      </c>
      <c r="AB319" s="90">
        <f t="shared" si="112"/>
        <v>378690</v>
      </c>
      <c r="AC319" s="4">
        <f t="shared" si="111"/>
        <v>302952</v>
      </c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</row>
    <row r="320" spans="1:61" s="95" customFormat="1" ht="27.6" customHeight="1" x14ac:dyDescent="0.2">
      <c r="A320" s="80">
        <v>310</v>
      </c>
      <c r="B320" s="58" t="s">
        <v>544</v>
      </c>
      <c r="C320" s="9" t="s">
        <v>213</v>
      </c>
      <c r="D320" s="59">
        <v>14632000</v>
      </c>
      <c r="E320" s="9"/>
      <c r="F320" s="9"/>
      <c r="G320" s="62"/>
      <c r="H320" s="54">
        <v>6.5</v>
      </c>
      <c r="I320" s="34"/>
      <c r="J320" s="34"/>
      <c r="K320" s="34"/>
      <c r="L320" s="8">
        <v>0</v>
      </c>
      <c r="M320" s="8">
        <v>14632000</v>
      </c>
      <c r="N320" s="90">
        <f t="shared" si="114"/>
        <v>14632000</v>
      </c>
      <c r="O320" s="18"/>
      <c r="P320" s="18"/>
      <c r="Q320" s="18"/>
      <c r="R320" s="4">
        <v>0</v>
      </c>
      <c r="S320" s="90">
        <f t="shared" si="118"/>
        <v>11705600</v>
      </c>
      <c r="T320" s="4">
        <v>0</v>
      </c>
      <c r="U320" s="4">
        <f t="shared" si="121"/>
        <v>2926400</v>
      </c>
      <c r="V320" s="92"/>
      <c r="W320" s="92"/>
      <c r="X320" s="4"/>
      <c r="Y320" s="4">
        <v>99017</v>
      </c>
      <c r="Z320" s="4">
        <f t="shared" si="119"/>
        <v>2926400</v>
      </c>
      <c r="AA320" s="4">
        <v>951080</v>
      </c>
      <c r="AB320" s="90">
        <f t="shared" si="112"/>
        <v>951080</v>
      </c>
      <c r="AC320" s="4">
        <f t="shared" si="111"/>
        <v>760864</v>
      </c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</row>
    <row r="321" spans="1:61" s="95" customFormat="1" ht="27.6" customHeight="1" x14ac:dyDescent="0.2">
      <c r="A321" s="9">
        <v>311</v>
      </c>
      <c r="B321" s="58" t="s">
        <v>544</v>
      </c>
      <c r="C321" s="9" t="s">
        <v>213</v>
      </c>
      <c r="D321" s="59">
        <v>4819000</v>
      </c>
      <c r="E321" s="9"/>
      <c r="F321" s="9"/>
      <c r="G321" s="62"/>
      <c r="H321" s="54">
        <v>6.5</v>
      </c>
      <c r="I321" s="34"/>
      <c r="J321" s="34"/>
      <c r="K321" s="34"/>
      <c r="L321" s="8">
        <v>0</v>
      </c>
      <c r="M321" s="8">
        <v>4819000</v>
      </c>
      <c r="N321" s="90">
        <f t="shared" si="114"/>
        <v>4819000</v>
      </c>
      <c r="O321" s="18"/>
      <c r="P321" s="18"/>
      <c r="Q321" s="18"/>
      <c r="R321" s="4">
        <v>0</v>
      </c>
      <c r="S321" s="90">
        <f t="shared" si="118"/>
        <v>3855200</v>
      </c>
      <c r="T321" s="4">
        <v>0</v>
      </c>
      <c r="U321" s="4">
        <f t="shared" si="121"/>
        <v>963800</v>
      </c>
      <c r="V321" s="92"/>
      <c r="W321" s="92"/>
      <c r="X321" s="4"/>
      <c r="Y321" s="4">
        <v>32611</v>
      </c>
      <c r="Z321" s="4">
        <f t="shared" si="119"/>
        <v>963800</v>
      </c>
      <c r="AA321" s="4">
        <v>313235</v>
      </c>
      <c r="AB321" s="90">
        <f t="shared" si="112"/>
        <v>313235</v>
      </c>
      <c r="AC321" s="4">
        <f t="shared" si="111"/>
        <v>250588</v>
      </c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</row>
    <row r="322" spans="1:61" s="95" customFormat="1" ht="27.6" customHeight="1" x14ac:dyDescent="0.2">
      <c r="A322" s="80">
        <v>312</v>
      </c>
      <c r="B322" s="58" t="s">
        <v>545</v>
      </c>
      <c r="C322" s="9" t="s">
        <v>213</v>
      </c>
      <c r="D322" s="59">
        <v>657000</v>
      </c>
      <c r="E322" s="9"/>
      <c r="F322" s="9"/>
      <c r="G322" s="62"/>
      <c r="H322" s="54">
        <v>6.5</v>
      </c>
      <c r="I322" s="34"/>
      <c r="J322" s="34"/>
      <c r="K322" s="34"/>
      <c r="L322" s="8">
        <v>0</v>
      </c>
      <c r="M322" s="8">
        <v>657000</v>
      </c>
      <c r="N322" s="90">
        <f t="shared" si="114"/>
        <v>657000</v>
      </c>
      <c r="O322" s="18"/>
      <c r="P322" s="18"/>
      <c r="Q322" s="18"/>
      <c r="R322" s="4">
        <v>0</v>
      </c>
      <c r="S322" s="90">
        <f t="shared" si="118"/>
        <v>525600</v>
      </c>
      <c r="T322" s="4">
        <v>0</v>
      </c>
      <c r="U322" s="4">
        <f t="shared" si="121"/>
        <v>131400</v>
      </c>
      <c r="V322" s="92"/>
      <c r="W322" s="92"/>
      <c r="X322" s="4"/>
      <c r="Y322" s="4">
        <v>3861</v>
      </c>
      <c r="Z322" s="4">
        <f t="shared" si="119"/>
        <v>131400</v>
      </c>
      <c r="AA322" s="4">
        <v>42705</v>
      </c>
      <c r="AB322" s="90">
        <f t="shared" si="112"/>
        <v>42705</v>
      </c>
      <c r="AC322" s="4">
        <f t="shared" si="111"/>
        <v>34164</v>
      </c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</row>
    <row r="323" spans="1:61" s="95" customFormat="1" ht="27.6" customHeight="1" x14ac:dyDescent="0.2">
      <c r="A323" s="9">
        <v>313</v>
      </c>
      <c r="B323" s="58" t="s">
        <v>546</v>
      </c>
      <c r="C323" s="9" t="s">
        <v>213</v>
      </c>
      <c r="D323" s="59">
        <v>9853000</v>
      </c>
      <c r="E323" s="9"/>
      <c r="F323" s="9"/>
      <c r="G323" s="62"/>
      <c r="H323" s="54">
        <v>6.5</v>
      </c>
      <c r="I323" s="34"/>
      <c r="J323" s="34"/>
      <c r="K323" s="34"/>
      <c r="L323" s="8">
        <v>0</v>
      </c>
      <c r="M323" s="8">
        <v>9853000</v>
      </c>
      <c r="N323" s="90">
        <f t="shared" si="114"/>
        <v>9853000</v>
      </c>
      <c r="O323" s="18"/>
      <c r="P323" s="18"/>
      <c r="Q323" s="18"/>
      <c r="R323" s="4">
        <v>0</v>
      </c>
      <c r="S323" s="90">
        <f t="shared" si="118"/>
        <v>7882400</v>
      </c>
      <c r="T323" s="4">
        <v>0</v>
      </c>
      <c r="U323" s="4">
        <f t="shared" si="121"/>
        <v>1970600</v>
      </c>
      <c r="V323" s="92"/>
      <c r="W323" s="92"/>
      <c r="X323" s="4"/>
      <c r="Y323" s="4">
        <v>35093</v>
      </c>
      <c r="Z323" s="4">
        <f t="shared" si="119"/>
        <v>1970600</v>
      </c>
      <c r="AA323" s="4">
        <v>640445</v>
      </c>
      <c r="AB323" s="90">
        <f t="shared" si="112"/>
        <v>640445</v>
      </c>
      <c r="AC323" s="4">
        <f t="shared" si="111"/>
        <v>512356</v>
      </c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</row>
    <row r="324" spans="1:61" s="95" customFormat="1" ht="27.6" customHeight="1" x14ac:dyDescent="0.2">
      <c r="A324" s="80">
        <v>314</v>
      </c>
      <c r="B324" s="58" t="s">
        <v>547</v>
      </c>
      <c r="C324" s="9" t="s">
        <v>213</v>
      </c>
      <c r="D324" s="59">
        <v>9840000</v>
      </c>
      <c r="E324" s="9"/>
      <c r="F324" s="9"/>
      <c r="G324" s="62"/>
      <c r="H324" s="54">
        <v>6.5</v>
      </c>
      <c r="I324" s="34"/>
      <c r="J324" s="34"/>
      <c r="K324" s="34"/>
      <c r="L324" s="8">
        <v>0</v>
      </c>
      <c r="M324" s="8">
        <v>9840000</v>
      </c>
      <c r="N324" s="90">
        <f t="shared" si="114"/>
        <v>9840000</v>
      </c>
      <c r="O324" s="18"/>
      <c r="P324" s="18"/>
      <c r="Q324" s="18"/>
      <c r="R324" s="4">
        <v>0</v>
      </c>
      <c r="S324" s="90">
        <f t="shared" si="118"/>
        <v>7872000</v>
      </c>
      <c r="T324" s="4">
        <v>0</v>
      </c>
      <c r="U324" s="4">
        <f t="shared" si="121"/>
        <v>1968000</v>
      </c>
      <c r="V324" s="92"/>
      <c r="W324" s="92"/>
      <c r="X324" s="4"/>
      <c r="Y324" s="4">
        <v>26285</v>
      </c>
      <c r="Z324" s="4">
        <f t="shared" si="119"/>
        <v>1968000</v>
      </c>
      <c r="AA324" s="4">
        <v>639600</v>
      </c>
      <c r="AB324" s="90">
        <f t="shared" si="112"/>
        <v>639600</v>
      </c>
      <c r="AC324" s="4">
        <f t="shared" si="111"/>
        <v>511680</v>
      </c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</row>
    <row r="325" spans="1:61" s="95" customFormat="1" ht="27.6" customHeight="1" x14ac:dyDescent="0.2">
      <c r="A325" s="9">
        <v>315</v>
      </c>
      <c r="B325" s="58" t="s">
        <v>548</v>
      </c>
      <c r="C325" s="9" t="s">
        <v>213</v>
      </c>
      <c r="D325" s="59">
        <v>14763000</v>
      </c>
      <c r="E325" s="9"/>
      <c r="F325" s="9"/>
      <c r="G325" s="62"/>
      <c r="H325" s="54">
        <v>6.5</v>
      </c>
      <c r="I325" s="34"/>
      <c r="J325" s="34"/>
      <c r="K325" s="34"/>
      <c r="L325" s="8">
        <v>0</v>
      </c>
      <c r="M325" s="8">
        <v>14763000</v>
      </c>
      <c r="N325" s="90">
        <f t="shared" si="114"/>
        <v>14763000</v>
      </c>
      <c r="O325" s="18"/>
      <c r="P325" s="18"/>
      <c r="Q325" s="18"/>
      <c r="R325" s="4">
        <v>0</v>
      </c>
      <c r="S325" s="90">
        <f t="shared" si="118"/>
        <v>11810400</v>
      </c>
      <c r="T325" s="4">
        <v>0</v>
      </c>
      <c r="U325" s="4">
        <f t="shared" si="121"/>
        <v>2952600</v>
      </c>
      <c r="V325" s="92"/>
      <c r="W325" s="92"/>
      <c r="X325" s="4"/>
      <c r="Y325" s="4">
        <v>34177</v>
      </c>
      <c r="Z325" s="4">
        <f t="shared" si="119"/>
        <v>2952600</v>
      </c>
      <c r="AA325" s="4">
        <v>959595</v>
      </c>
      <c r="AB325" s="90">
        <f t="shared" si="112"/>
        <v>959595</v>
      </c>
      <c r="AC325" s="4">
        <f t="shared" si="111"/>
        <v>767676</v>
      </c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</row>
    <row r="326" spans="1:61" s="95" customFormat="1" ht="27.6" customHeight="1" x14ac:dyDescent="0.2">
      <c r="A326" s="80">
        <v>316</v>
      </c>
      <c r="B326" s="58" t="s">
        <v>498</v>
      </c>
      <c r="C326" s="9" t="s">
        <v>213</v>
      </c>
      <c r="D326" s="59">
        <v>24605000</v>
      </c>
      <c r="E326" s="9"/>
      <c r="F326" s="9"/>
      <c r="G326" s="62"/>
      <c r="H326" s="54">
        <v>6.5</v>
      </c>
      <c r="I326" s="34"/>
      <c r="J326" s="34"/>
      <c r="K326" s="34"/>
      <c r="L326" s="8">
        <v>0</v>
      </c>
      <c r="M326" s="8">
        <v>24605000</v>
      </c>
      <c r="N326" s="90">
        <f t="shared" si="114"/>
        <v>24605000</v>
      </c>
      <c r="O326" s="18"/>
      <c r="P326" s="18"/>
      <c r="Q326" s="18"/>
      <c r="R326" s="4">
        <v>0</v>
      </c>
      <c r="S326" s="90">
        <f t="shared" si="118"/>
        <v>19684000</v>
      </c>
      <c r="T326" s="4">
        <v>0</v>
      </c>
      <c r="U326" s="4">
        <f t="shared" si="121"/>
        <v>4921000</v>
      </c>
      <c r="V326" s="92"/>
      <c r="W326" s="92"/>
      <c r="X326" s="4"/>
      <c r="Y326" s="4">
        <v>48199</v>
      </c>
      <c r="Z326" s="4">
        <f t="shared" si="119"/>
        <v>4921000</v>
      </c>
      <c r="AA326" s="4">
        <v>1599325</v>
      </c>
      <c r="AB326" s="90">
        <f t="shared" si="112"/>
        <v>1599325</v>
      </c>
      <c r="AC326" s="4">
        <f t="shared" si="111"/>
        <v>1279460</v>
      </c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</row>
    <row r="327" spans="1:61" s="95" customFormat="1" ht="27.6" customHeight="1" x14ac:dyDescent="0.2">
      <c r="A327" s="9">
        <v>317</v>
      </c>
      <c r="B327" s="58" t="s">
        <v>498</v>
      </c>
      <c r="C327" s="9" t="s">
        <v>213</v>
      </c>
      <c r="D327" s="59">
        <v>1194000</v>
      </c>
      <c r="E327" s="9"/>
      <c r="F327" s="9"/>
      <c r="G327" s="62"/>
      <c r="H327" s="54">
        <v>6.5</v>
      </c>
      <c r="I327" s="34"/>
      <c r="J327" s="34"/>
      <c r="K327" s="34"/>
      <c r="L327" s="8">
        <v>0</v>
      </c>
      <c r="M327" s="8">
        <v>1194000</v>
      </c>
      <c r="N327" s="90">
        <f t="shared" si="114"/>
        <v>1194000</v>
      </c>
      <c r="O327" s="18"/>
      <c r="P327" s="18"/>
      <c r="Q327" s="18"/>
      <c r="R327" s="4">
        <v>0</v>
      </c>
      <c r="S327" s="90">
        <f t="shared" si="118"/>
        <v>955200</v>
      </c>
      <c r="T327" s="4">
        <v>0</v>
      </c>
      <c r="U327" s="4">
        <f t="shared" si="121"/>
        <v>238800</v>
      </c>
      <c r="V327" s="92"/>
      <c r="W327" s="92"/>
      <c r="X327" s="4"/>
      <c r="Y327" s="4">
        <v>2339</v>
      </c>
      <c r="Z327" s="4">
        <f t="shared" si="119"/>
        <v>238800</v>
      </c>
      <c r="AA327" s="4">
        <v>77610</v>
      </c>
      <c r="AB327" s="90">
        <f t="shared" si="112"/>
        <v>77610</v>
      </c>
      <c r="AC327" s="4">
        <f t="shared" si="111"/>
        <v>62088</v>
      </c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</row>
    <row r="328" spans="1:61" s="95" customFormat="1" ht="27.6" customHeight="1" x14ac:dyDescent="0.2">
      <c r="A328" s="80">
        <v>318</v>
      </c>
      <c r="B328" s="58" t="s">
        <v>498</v>
      </c>
      <c r="C328" s="9" t="s">
        <v>213</v>
      </c>
      <c r="D328" s="59">
        <v>5899000</v>
      </c>
      <c r="E328" s="9"/>
      <c r="F328" s="9"/>
      <c r="G328" s="62"/>
      <c r="H328" s="54">
        <v>6.5</v>
      </c>
      <c r="I328" s="34"/>
      <c r="J328" s="34"/>
      <c r="K328" s="34"/>
      <c r="L328" s="8">
        <v>0</v>
      </c>
      <c r="M328" s="8">
        <v>5899000</v>
      </c>
      <c r="N328" s="90">
        <f t="shared" si="114"/>
        <v>5899000</v>
      </c>
      <c r="O328" s="18"/>
      <c r="P328" s="18"/>
      <c r="Q328" s="18"/>
      <c r="R328" s="4">
        <v>0</v>
      </c>
      <c r="S328" s="90">
        <f t="shared" si="118"/>
        <v>4719200</v>
      </c>
      <c r="T328" s="4">
        <v>0</v>
      </c>
      <c r="U328" s="4">
        <f t="shared" si="121"/>
        <v>1179800</v>
      </c>
      <c r="V328" s="92"/>
      <c r="W328" s="92"/>
      <c r="X328" s="4"/>
      <c r="Y328" s="4">
        <v>11556</v>
      </c>
      <c r="Z328" s="4">
        <f t="shared" si="119"/>
        <v>1179800</v>
      </c>
      <c r="AA328" s="4">
        <v>383435</v>
      </c>
      <c r="AB328" s="90">
        <f t="shared" si="112"/>
        <v>383435</v>
      </c>
      <c r="AC328" s="4">
        <f t="shared" si="111"/>
        <v>306748</v>
      </c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</row>
    <row r="329" spans="1:61" s="95" customFormat="1" ht="27.6" customHeight="1" x14ac:dyDescent="0.2">
      <c r="A329" s="9">
        <v>319</v>
      </c>
      <c r="B329" s="58" t="s">
        <v>498</v>
      </c>
      <c r="C329" s="9" t="s">
        <v>213</v>
      </c>
      <c r="D329" s="59">
        <v>2666000</v>
      </c>
      <c r="E329" s="9"/>
      <c r="F329" s="9"/>
      <c r="G329" s="62"/>
      <c r="H329" s="54">
        <v>6.5</v>
      </c>
      <c r="I329" s="34"/>
      <c r="J329" s="34"/>
      <c r="K329" s="34"/>
      <c r="L329" s="8">
        <v>0</v>
      </c>
      <c r="M329" s="8">
        <v>2666000</v>
      </c>
      <c r="N329" s="90">
        <f t="shared" si="114"/>
        <v>2666000</v>
      </c>
      <c r="O329" s="18"/>
      <c r="P329" s="18"/>
      <c r="Q329" s="18"/>
      <c r="R329" s="4">
        <v>0</v>
      </c>
      <c r="S329" s="90">
        <f t="shared" si="118"/>
        <v>2132800</v>
      </c>
      <c r="T329" s="4">
        <v>0</v>
      </c>
      <c r="U329" s="4">
        <f t="shared" si="121"/>
        <v>533200</v>
      </c>
      <c r="V329" s="92"/>
      <c r="W329" s="92"/>
      <c r="X329" s="4"/>
      <c r="Y329" s="4">
        <v>5222</v>
      </c>
      <c r="Z329" s="4">
        <f t="shared" si="119"/>
        <v>533200</v>
      </c>
      <c r="AA329" s="4">
        <v>173290</v>
      </c>
      <c r="AB329" s="90">
        <f t="shared" si="112"/>
        <v>173290</v>
      </c>
      <c r="AC329" s="4">
        <f t="shared" si="111"/>
        <v>138632</v>
      </c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</row>
    <row r="330" spans="1:61" s="95" customFormat="1" ht="27.6" customHeight="1" x14ac:dyDescent="0.2">
      <c r="A330" s="80">
        <v>320</v>
      </c>
      <c r="B330" s="58" t="s">
        <v>498</v>
      </c>
      <c r="C330" s="9" t="s">
        <v>213</v>
      </c>
      <c r="D330" s="59">
        <v>15703000</v>
      </c>
      <c r="E330" s="9"/>
      <c r="F330" s="9"/>
      <c r="G330" s="62"/>
      <c r="H330" s="54">
        <v>6.5</v>
      </c>
      <c r="I330" s="34"/>
      <c r="J330" s="34"/>
      <c r="K330" s="34"/>
      <c r="L330" s="8">
        <v>0</v>
      </c>
      <c r="M330" s="8">
        <v>15703000</v>
      </c>
      <c r="N330" s="90">
        <f t="shared" si="114"/>
        <v>15703000</v>
      </c>
      <c r="O330" s="18"/>
      <c r="P330" s="18"/>
      <c r="Q330" s="18"/>
      <c r="R330" s="4">
        <v>0</v>
      </c>
      <c r="S330" s="90">
        <f t="shared" si="118"/>
        <v>12562400</v>
      </c>
      <c r="T330" s="4">
        <v>0</v>
      </c>
      <c r="U330" s="4">
        <f t="shared" si="121"/>
        <v>3140600</v>
      </c>
      <c r="V330" s="92"/>
      <c r="W330" s="92"/>
      <c r="X330" s="4"/>
      <c r="Y330" s="4">
        <v>30761</v>
      </c>
      <c r="Z330" s="4">
        <f t="shared" si="119"/>
        <v>3140600</v>
      </c>
      <c r="AA330" s="4">
        <v>1020695</v>
      </c>
      <c r="AB330" s="90">
        <f t="shared" si="112"/>
        <v>1020695</v>
      </c>
      <c r="AC330" s="4">
        <f t="shared" ref="AC330:AC363" si="122">S330*H330%</f>
        <v>816556</v>
      </c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</row>
    <row r="331" spans="1:61" s="95" customFormat="1" ht="27.6" customHeight="1" x14ac:dyDescent="0.2">
      <c r="A331" s="9">
        <v>321</v>
      </c>
      <c r="B331" s="58" t="s">
        <v>554</v>
      </c>
      <c r="C331" s="9" t="s">
        <v>213</v>
      </c>
      <c r="D331" s="59">
        <v>1984000</v>
      </c>
      <c r="E331" s="9"/>
      <c r="F331" s="9"/>
      <c r="G331" s="62"/>
      <c r="H331" s="54">
        <v>6.5</v>
      </c>
      <c r="I331" s="34"/>
      <c r="J331" s="34"/>
      <c r="K331" s="34"/>
      <c r="L331" s="8">
        <v>0</v>
      </c>
      <c r="M331" s="8">
        <v>1984000</v>
      </c>
      <c r="N331" s="90">
        <f t="shared" si="114"/>
        <v>1984000</v>
      </c>
      <c r="O331" s="18"/>
      <c r="P331" s="18"/>
      <c r="Q331" s="18"/>
      <c r="R331" s="4">
        <v>0</v>
      </c>
      <c r="S331" s="90">
        <f t="shared" si="118"/>
        <v>1587200</v>
      </c>
      <c r="T331" s="4">
        <v>0</v>
      </c>
      <c r="U331" s="4">
        <f t="shared" si="121"/>
        <v>396800</v>
      </c>
      <c r="V331" s="92"/>
      <c r="W331" s="92"/>
      <c r="X331" s="4"/>
      <c r="Y331" s="4">
        <v>707</v>
      </c>
      <c r="Z331" s="4">
        <f t="shared" si="119"/>
        <v>396800</v>
      </c>
      <c r="AA331" s="4">
        <v>128960</v>
      </c>
      <c r="AB331" s="90">
        <f t="shared" ref="AB331:AB336" si="123">N331*6.5/100</f>
        <v>128960</v>
      </c>
      <c r="AC331" s="4">
        <f t="shared" si="122"/>
        <v>103168</v>
      </c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</row>
    <row r="332" spans="1:61" s="95" customFormat="1" ht="27.6" customHeight="1" x14ac:dyDescent="0.2">
      <c r="A332" s="80">
        <v>322</v>
      </c>
      <c r="B332" s="58" t="s">
        <v>554</v>
      </c>
      <c r="C332" s="9" t="s">
        <v>213</v>
      </c>
      <c r="D332" s="59">
        <v>1932000</v>
      </c>
      <c r="E332" s="9"/>
      <c r="F332" s="9"/>
      <c r="G332" s="62"/>
      <c r="H332" s="54">
        <v>6.5</v>
      </c>
      <c r="I332" s="34"/>
      <c r="J332" s="34"/>
      <c r="K332" s="34"/>
      <c r="L332" s="8">
        <v>0</v>
      </c>
      <c r="M332" s="8">
        <v>1932000</v>
      </c>
      <c r="N332" s="90">
        <f t="shared" si="114"/>
        <v>1932000</v>
      </c>
      <c r="O332" s="18"/>
      <c r="P332" s="18"/>
      <c r="Q332" s="18"/>
      <c r="R332" s="4">
        <v>0</v>
      </c>
      <c r="S332" s="90">
        <f t="shared" si="118"/>
        <v>1545600</v>
      </c>
      <c r="T332" s="4">
        <v>0</v>
      </c>
      <c r="U332" s="4">
        <f t="shared" si="121"/>
        <v>386400</v>
      </c>
      <c r="V332" s="92"/>
      <c r="W332" s="92"/>
      <c r="X332" s="4"/>
      <c r="Y332" s="4">
        <v>688</v>
      </c>
      <c r="Z332" s="4">
        <f t="shared" si="119"/>
        <v>386400</v>
      </c>
      <c r="AA332" s="4">
        <v>125580</v>
      </c>
      <c r="AB332" s="90">
        <f t="shared" si="123"/>
        <v>125580</v>
      </c>
      <c r="AC332" s="4">
        <f t="shared" si="122"/>
        <v>100464</v>
      </c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</row>
    <row r="333" spans="1:61" s="95" customFormat="1" ht="27.6" customHeight="1" x14ac:dyDescent="0.2">
      <c r="A333" s="9">
        <v>323</v>
      </c>
      <c r="B333" s="58" t="s">
        <v>554</v>
      </c>
      <c r="C333" s="9" t="s">
        <v>213</v>
      </c>
      <c r="D333" s="59">
        <v>6769000</v>
      </c>
      <c r="E333" s="9"/>
      <c r="F333" s="9"/>
      <c r="G333" s="62"/>
      <c r="H333" s="54">
        <v>6.5</v>
      </c>
      <c r="I333" s="34"/>
      <c r="J333" s="34"/>
      <c r="K333" s="34"/>
      <c r="L333" s="8">
        <v>0</v>
      </c>
      <c r="M333" s="8">
        <v>6769000</v>
      </c>
      <c r="N333" s="90">
        <f t="shared" si="114"/>
        <v>6769000</v>
      </c>
      <c r="O333" s="18"/>
      <c r="P333" s="18"/>
      <c r="Q333" s="18"/>
      <c r="R333" s="4">
        <v>0</v>
      </c>
      <c r="S333" s="90">
        <f t="shared" si="118"/>
        <v>5415200</v>
      </c>
      <c r="T333" s="4">
        <v>0</v>
      </c>
      <c r="U333" s="4">
        <f t="shared" si="121"/>
        <v>1353800</v>
      </c>
      <c r="V333" s="92"/>
      <c r="W333" s="92"/>
      <c r="X333" s="4"/>
      <c r="Y333" s="4">
        <v>2411</v>
      </c>
      <c r="Z333" s="4">
        <f t="shared" si="119"/>
        <v>1353800</v>
      </c>
      <c r="AA333" s="4">
        <v>439985</v>
      </c>
      <c r="AB333" s="90">
        <f t="shared" si="123"/>
        <v>439985</v>
      </c>
      <c r="AC333" s="4">
        <f t="shared" si="122"/>
        <v>351988</v>
      </c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</row>
    <row r="334" spans="1:61" s="95" customFormat="1" ht="27.6" customHeight="1" x14ac:dyDescent="0.2">
      <c r="A334" s="80">
        <v>324</v>
      </c>
      <c r="B334" s="58" t="s">
        <v>554</v>
      </c>
      <c r="C334" s="9" t="s">
        <v>213</v>
      </c>
      <c r="D334" s="59">
        <v>2475000</v>
      </c>
      <c r="E334" s="9"/>
      <c r="F334" s="9"/>
      <c r="G334" s="62"/>
      <c r="H334" s="54">
        <v>6.5</v>
      </c>
      <c r="I334" s="34"/>
      <c r="J334" s="34"/>
      <c r="K334" s="34"/>
      <c r="L334" s="8">
        <v>0</v>
      </c>
      <c r="M334" s="8">
        <v>2475000</v>
      </c>
      <c r="N334" s="90">
        <f t="shared" si="114"/>
        <v>2475000</v>
      </c>
      <c r="O334" s="18"/>
      <c r="P334" s="18"/>
      <c r="Q334" s="18"/>
      <c r="R334" s="4">
        <v>0</v>
      </c>
      <c r="S334" s="90">
        <f t="shared" si="118"/>
        <v>1980000</v>
      </c>
      <c r="T334" s="4">
        <v>0</v>
      </c>
      <c r="U334" s="4">
        <f t="shared" si="121"/>
        <v>495000</v>
      </c>
      <c r="V334" s="92"/>
      <c r="W334" s="92"/>
      <c r="X334" s="4"/>
      <c r="Y334" s="4">
        <v>882</v>
      </c>
      <c r="Z334" s="4">
        <f t="shared" si="119"/>
        <v>495000</v>
      </c>
      <c r="AA334" s="4">
        <v>160875</v>
      </c>
      <c r="AB334" s="90">
        <f t="shared" si="123"/>
        <v>160875</v>
      </c>
      <c r="AC334" s="4">
        <f t="shared" si="122"/>
        <v>128700</v>
      </c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</row>
    <row r="335" spans="1:61" s="95" customFormat="1" ht="27.6" customHeight="1" x14ac:dyDescent="0.2">
      <c r="A335" s="9">
        <v>325</v>
      </c>
      <c r="B335" s="58" t="s">
        <v>554</v>
      </c>
      <c r="C335" s="9" t="s">
        <v>213</v>
      </c>
      <c r="D335" s="59">
        <v>5662000</v>
      </c>
      <c r="E335" s="9"/>
      <c r="F335" s="9"/>
      <c r="G335" s="62"/>
      <c r="H335" s="54">
        <v>6.5</v>
      </c>
      <c r="I335" s="34"/>
      <c r="J335" s="34"/>
      <c r="K335" s="34"/>
      <c r="L335" s="8">
        <v>0</v>
      </c>
      <c r="M335" s="8">
        <v>5662000</v>
      </c>
      <c r="N335" s="90">
        <f t="shared" ref="N335:N336" si="124">M335-T335</f>
        <v>5662000</v>
      </c>
      <c r="O335" s="18"/>
      <c r="P335" s="18"/>
      <c r="Q335" s="18"/>
      <c r="R335" s="4">
        <v>0</v>
      </c>
      <c r="S335" s="90">
        <f t="shared" si="118"/>
        <v>4529600</v>
      </c>
      <c r="T335" s="4">
        <v>0</v>
      </c>
      <c r="U335" s="4">
        <f t="shared" si="121"/>
        <v>1132400</v>
      </c>
      <c r="V335" s="92"/>
      <c r="W335" s="92"/>
      <c r="X335" s="4"/>
      <c r="Y335" s="4">
        <v>2017</v>
      </c>
      <c r="Z335" s="4">
        <f t="shared" si="119"/>
        <v>1132400</v>
      </c>
      <c r="AA335" s="4">
        <v>368030</v>
      </c>
      <c r="AB335" s="90">
        <f t="shared" si="123"/>
        <v>368030</v>
      </c>
      <c r="AC335" s="4">
        <f t="shared" si="122"/>
        <v>294424</v>
      </c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</row>
    <row r="336" spans="1:61" s="95" customFormat="1" ht="27.6" customHeight="1" x14ac:dyDescent="0.2">
      <c r="A336" s="80">
        <v>326</v>
      </c>
      <c r="B336" s="58" t="s">
        <v>555</v>
      </c>
      <c r="C336" s="9" t="s">
        <v>213</v>
      </c>
      <c r="D336" s="59">
        <v>2042000</v>
      </c>
      <c r="E336" s="9"/>
      <c r="F336" s="9"/>
      <c r="G336" s="62"/>
      <c r="H336" s="54">
        <v>6.5</v>
      </c>
      <c r="I336" s="34"/>
      <c r="J336" s="34"/>
      <c r="K336" s="34"/>
      <c r="L336" s="8">
        <v>0</v>
      </c>
      <c r="M336" s="8">
        <v>2042000</v>
      </c>
      <c r="N336" s="90">
        <f t="shared" si="124"/>
        <v>2042000</v>
      </c>
      <c r="O336" s="18"/>
      <c r="P336" s="18"/>
      <c r="Q336" s="18"/>
      <c r="R336" s="4">
        <v>0</v>
      </c>
      <c r="S336" s="90">
        <f t="shared" si="118"/>
        <v>1633600</v>
      </c>
      <c r="T336" s="4">
        <v>0</v>
      </c>
      <c r="U336" s="4">
        <f t="shared" si="121"/>
        <v>408400</v>
      </c>
      <c r="V336" s="92"/>
      <c r="W336" s="92"/>
      <c r="X336" s="4"/>
      <c r="Y336" s="4">
        <v>364</v>
      </c>
      <c r="Z336" s="4">
        <f t="shared" si="119"/>
        <v>408400</v>
      </c>
      <c r="AA336" s="4">
        <v>132730</v>
      </c>
      <c r="AB336" s="90">
        <f t="shared" si="123"/>
        <v>132730</v>
      </c>
      <c r="AC336" s="4">
        <f t="shared" si="122"/>
        <v>106184</v>
      </c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</row>
    <row r="337" spans="1:61" s="95" customFormat="1" ht="27.6" customHeight="1" x14ac:dyDescent="0.2">
      <c r="A337" s="9">
        <v>327</v>
      </c>
      <c r="B337" s="58" t="s">
        <v>557</v>
      </c>
      <c r="C337" s="9" t="s">
        <v>213</v>
      </c>
      <c r="D337" s="59">
        <v>5494000</v>
      </c>
      <c r="E337" s="9"/>
      <c r="F337" s="9"/>
      <c r="G337" s="62"/>
      <c r="H337" s="54">
        <v>7.5</v>
      </c>
      <c r="I337" s="34"/>
      <c r="J337" s="34"/>
      <c r="K337" s="34"/>
      <c r="L337" s="8"/>
      <c r="M337" s="8">
        <v>5494000</v>
      </c>
      <c r="N337" s="90">
        <v>5494000</v>
      </c>
      <c r="O337" s="18"/>
      <c r="P337" s="18"/>
      <c r="Q337" s="18"/>
      <c r="R337" s="4"/>
      <c r="S337" s="90">
        <f>N337-U337</f>
        <v>5494000</v>
      </c>
      <c r="T337" s="4">
        <v>0</v>
      </c>
      <c r="U337" s="4">
        <v>0</v>
      </c>
      <c r="V337" s="92"/>
      <c r="W337" s="92"/>
      <c r="X337" s="4"/>
      <c r="Y337" s="4"/>
      <c r="Z337" s="4">
        <f>D337/5</f>
        <v>1098800</v>
      </c>
      <c r="AA337" s="8">
        <f>AB337/365*296</f>
        <v>334155.61643835617</v>
      </c>
      <c r="AB337" s="90">
        <f t="shared" ref="AB337:AB344" si="125">N337*7.5/100</f>
        <v>412050</v>
      </c>
      <c r="AC337" s="4">
        <f t="shared" si="122"/>
        <v>412050</v>
      </c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</row>
    <row r="338" spans="1:61" s="95" customFormat="1" ht="27.6" customHeight="1" x14ac:dyDescent="0.2">
      <c r="A338" s="80">
        <v>328</v>
      </c>
      <c r="B338" s="58" t="s">
        <v>559</v>
      </c>
      <c r="C338" s="9" t="s">
        <v>213</v>
      </c>
      <c r="D338" s="59">
        <v>2123000</v>
      </c>
      <c r="E338" s="9"/>
      <c r="F338" s="9"/>
      <c r="G338" s="62"/>
      <c r="H338" s="54">
        <v>7.5</v>
      </c>
      <c r="I338" s="34"/>
      <c r="J338" s="34"/>
      <c r="K338" s="34"/>
      <c r="L338" s="8"/>
      <c r="M338" s="8">
        <v>2123000</v>
      </c>
      <c r="N338" s="90">
        <v>2123000</v>
      </c>
      <c r="O338" s="18"/>
      <c r="P338" s="18"/>
      <c r="Q338" s="18"/>
      <c r="R338" s="4"/>
      <c r="S338" s="90">
        <f t="shared" ref="S338:S361" si="126">N338-U338</f>
        <v>2123000</v>
      </c>
      <c r="T338" s="4">
        <v>0</v>
      </c>
      <c r="U338" s="4">
        <v>0</v>
      </c>
      <c r="V338" s="92"/>
      <c r="W338" s="92"/>
      <c r="X338" s="4"/>
      <c r="Y338" s="4"/>
      <c r="Z338" s="4">
        <f t="shared" ref="Z338:Z347" si="127">D338/5</f>
        <v>424600</v>
      </c>
      <c r="AA338" s="8">
        <f>AB338/365*294</f>
        <v>128252.46575342467</v>
      </c>
      <c r="AB338" s="90">
        <f t="shared" si="125"/>
        <v>159225</v>
      </c>
      <c r="AC338" s="4">
        <f t="shared" si="122"/>
        <v>159225</v>
      </c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</row>
    <row r="339" spans="1:61" s="95" customFormat="1" ht="27.6" customHeight="1" x14ac:dyDescent="0.2">
      <c r="A339" s="9">
        <v>329</v>
      </c>
      <c r="B339" s="58" t="s">
        <v>559</v>
      </c>
      <c r="C339" s="9" t="s">
        <v>213</v>
      </c>
      <c r="D339" s="59">
        <v>988000</v>
      </c>
      <c r="E339" s="9"/>
      <c r="F339" s="9"/>
      <c r="G339" s="62"/>
      <c r="H339" s="54">
        <v>7.5</v>
      </c>
      <c r="I339" s="34"/>
      <c r="J339" s="34"/>
      <c r="K339" s="34"/>
      <c r="L339" s="8"/>
      <c r="M339" s="8">
        <v>988000</v>
      </c>
      <c r="N339" s="90">
        <v>988000</v>
      </c>
      <c r="O339" s="18"/>
      <c r="P339" s="18"/>
      <c r="Q339" s="18"/>
      <c r="R339" s="4"/>
      <c r="S339" s="90">
        <f t="shared" si="126"/>
        <v>988000</v>
      </c>
      <c r="T339" s="4">
        <v>0</v>
      </c>
      <c r="U339" s="4">
        <v>0</v>
      </c>
      <c r="V339" s="92"/>
      <c r="W339" s="92"/>
      <c r="X339" s="4"/>
      <c r="Y339" s="4"/>
      <c r="Z339" s="4">
        <f t="shared" si="127"/>
        <v>197600</v>
      </c>
      <c r="AA339" s="8">
        <f>AB339/365*294</f>
        <v>59686.027397260274</v>
      </c>
      <c r="AB339" s="90">
        <f t="shared" si="125"/>
        <v>74100</v>
      </c>
      <c r="AC339" s="4">
        <f t="shared" si="122"/>
        <v>74100</v>
      </c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</row>
    <row r="340" spans="1:61" s="95" customFormat="1" ht="27.6" customHeight="1" x14ac:dyDescent="0.2">
      <c r="A340" s="80">
        <v>330</v>
      </c>
      <c r="B340" s="58" t="s">
        <v>563</v>
      </c>
      <c r="C340" s="9" t="s">
        <v>213</v>
      </c>
      <c r="D340" s="59">
        <v>2691000</v>
      </c>
      <c r="E340" s="9"/>
      <c r="F340" s="9"/>
      <c r="G340" s="62"/>
      <c r="H340" s="54">
        <v>7.5</v>
      </c>
      <c r="I340" s="34"/>
      <c r="J340" s="34"/>
      <c r="K340" s="34"/>
      <c r="L340" s="8"/>
      <c r="M340" s="8">
        <v>2691000</v>
      </c>
      <c r="N340" s="90">
        <v>2691000</v>
      </c>
      <c r="O340" s="18"/>
      <c r="P340" s="18"/>
      <c r="Q340" s="18"/>
      <c r="R340" s="4"/>
      <c r="S340" s="90">
        <f t="shared" si="126"/>
        <v>2691000</v>
      </c>
      <c r="T340" s="4">
        <v>0</v>
      </c>
      <c r="U340" s="4">
        <v>0</v>
      </c>
      <c r="V340" s="92"/>
      <c r="W340" s="92"/>
      <c r="X340" s="4"/>
      <c r="Y340" s="4"/>
      <c r="Z340" s="4">
        <f t="shared" si="127"/>
        <v>538200</v>
      </c>
      <c r="AA340" s="8">
        <f>AB340/365*280</f>
        <v>154824.65753424657</v>
      </c>
      <c r="AB340" s="8">
        <f t="shared" si="125"/>
        <v>201825</v>
      </c>
      <c r="AC340" s="4">
        <f t="shared" si="122"/>
        <v>201825</v>
      </c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</row>
    <row r="341" spans="1:61" s="95" customFormat="1" ht="27.6" customHeight="1" x14ac:dyDescent="0.2">
      <c r="A341" s="9">
        <v>331</v>
      </c>
      <c r="B341" s="58" t="s">
        <v>564</v>
      </c>
      <c r="C341" s="9" t="s">
        <v>213</v>
      </c>
      <c r="D341" s="59">
        <v>2335000</v>
      </c>
      <c r="E341" s="9"/>
      <c r="F341" s="9"/>
      <c r="G341" s="62"/>
      <c r="H341" s="54">
        <v>7.5</v>
      </c>
      <c r="I341" s="34"/>
      <c r="J341" s="34"/>
      <c r="K341" s="34"/>
      <c r="L341" s="8"/>
      <c r="M341" s="8">
        <v>2335000</v>
      </c>
      <c r="N341" s="90">
        <v>2335000</v>
      </c>
      <c r="O341" s="18"/>
      <c r="P341" s="18"/>
      <c r="Q341" s="18"/>
      <c r="R341" s="4"/>
      <c r="S341" s="90">
        <f t="shared" si="126"/>
        <v>2335000</v>
      </c>
      <c r="T341" s="4">
        <v>0</v>
      </c>
      <c r="U341" s="4">
        <v>0</v>
      </c>
      <c r="V341" s="92"/>
      <c r="W341" s="92"/>
      <c r="X341" s="4"/>
      <c r="Y341" s="4"/>
      <c r="Z341" s="4">
        <f t="shared" si="127"/>
        <v>467000</v>
      </c>
      <c r="AA341" s="8">
        <f>AB341/365*274</f>
        <v>131463.69863013699</v>
      </c>
      <c r="AB341" s="8">
        <f t="shared" si="125"/>
        <v>175125</v>
      </c>
      <c r="AC341" s="4">
        <f t="shared" si="122"/>
        <v>175125</v>
      </c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</row>
    <row r="342" spans="1:61" s="95" customFormat="1" ht="27.6" customHeight="1" x14ac:dyDescent="0.2">
      <c r="A342" s="80">
        <v>332</v>
      </c>
      <c r="B342" s="58" t="s">
        <v>564</v>
      </c>
      <c r="C342" s="9" t="s">
        <v>213</v>
      </c>
      <c r="D342" s="59">
        <v>9643000</v>
      </c>
      <c r="E342" s="9"/>
      <c r="F342" s="9"/>
      <c r="G342" s="62"/>
      <c r="H342" s="54">
        <v>7.5</v>
      </c>
      <c r="I342" s="34"/>
      <c r="J342" s="34"/>
      <c r="K342" s="34"/>
      <c r="L342" s="8"/>
      <c r="M342" s="8">
        <v>9643000</v>
      </c>
      <c r="N342" s="90">
        <v>9643000</v>
      </c>
      <c r="O342" s="18"/>
      <c r="P342" s="18"/>
      <c r="Q342" s="18"/>
      <c r="R342" s="4"/>
      <c r="S342" s="90">
        <f t="shared" si="126"/>
        <v>9643000</v>
      </c>
      <c r="T342" s="4">
        <v>0</v>
      </c>
      <c r="U342" s="4">
        <v>0</v>
      </c>
      <c r="V342" s="92"/>
      <c r="W342" s="92"/>
      <c r="X342" s="4"/>
      <c r="Y342" s="4"/>
      <c r="Z342" s="4">
        <f t="shared" si="127"/>
        <v>1928600</v>
      </c>
      <c r="AA342" s="8">
        <f>AB342/365*274</f>
        <v>542914.10958904109</v>
      </c>
      <c r="AB342" s="8">
        <f t="shared" si="125"/>
        <v>723225</v>
      </c>
      <c r="AC342" s="4">
        <f t="shared" si="122"/>
        <v>723225</v>
      </c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</row>
    <row r="343" spans="1:61" s="95" customFormat="1" ht="27.6" customHeight="1" x14ac:dyDescent="0.2">
      <c r="A343" s="9">
        <v>333</v>
      </c>
      <c r="B343" s="58" t="s">
        <v>564</v>
      </c>
      <c r="C343" s="9" t="s">
        <v>213</v>
      </c>
      <c r="D343" s="59">
        <v>14936000</v>
      </c>
      <c r="E343" s="9"/>
      <c r="F343" s="9"/>
      <c r="G343" s="62"/>
      <c r="H343" s="54">
        <v>7.5</v>
      </c>
      <c r="I343" s="34"/>
      <c r="J343" s="34"/>
      <c r="K343" s="34"/>
      <c r="L343" s="8"/>
      <c r="M343" s="8">
        <v>14936000</v>
      </c>
      <c r="N343" s="90">
        <v>14936000</v>
      </c>
      <c r="O343" s="18"/>
      <c r="P343" s="18"/>
      <c r="Q343" s="18"/>
      <c r="R343" s="4"/>
      <c r="S343" s="90">
        <f t="shared" si="126"/>
        <v>14936000</v>
      </c>
      <c r="T343" s="4">
        <v>0</v>
      </c>
      <c r="U343" s="4">
        <v>0</v>
      </c>
      <c r="V343" s="92"/>
      <c r="W343" s="92"/>
      <c r="X343" s="4"/>
      <c r="Y343" s="4"/>
      <c r="Z343" s="4">
        <f t="shared" si="127"/>
        <v>2987200</v>
      </c>
      <c r="AA343" s="8">
        <f>AB343/365*274</f>
        <v>840917.26027397253</v>
      </c>
      <c r="AB343" s="8">
        <f t="shared" si="125"/>
        <v>1120200</v>
      </c>
      <c r="AC343" s="4">
        <f t="shared" si="122"/>
        <v>1120200</v>
      </c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</row>
    <row r="344" spans="1:61" s="95" customFormat="1" ht="27.6" customHeight="1" x14ac:dyDescent="0.2">
      <c r="A344" s="80">
        <v>334</v>
      </c>
      <c r="B344" s="58" t="s">
        <v>566</v>
      </c>
      <c r="C344" s="9" t="s">
        <v>213</v>
      </c>
      <c r="D344" s="59">
        <v>4901000</v>
      </c>
      <c r="E344" s="9"/>
      <c r="F344" s="9"/>
      <c r="G344" s="62"/>
      <c r="H344" s="54">
        <v>7.5</v>
      </c>
      <c r="I344" s="34"/>
      <c r="J344" s="34"/>
      <c r="K344" s="34"/>
      <c r="L344" s="8"/>
      <c r="M344" s="8">
        <v>4901000</v>
      </c>
      <c r="N344" s="90">
        <v>4901000</v>
      </c>
      <c r="O344" s="18"/>
      <c r="P344" s="18"/>
      <c r="Q344" s="18"/>
      <c r="R344" s="4"/>
      <c r="S344" s="90">
        <f t="shared" si="126"/>
        <v>4901000</v>
      </c>
      <c r="T344" s="4">
        <v>0</v>
      </c>
      <c r="U344" s="4">
        <v>0</v>
      </c>
      <c r="V344" s="92"/>
      <c r="W344" s="92"/>
      <c r="X344" s="4"/>
      <c r="Y344" s="4"/>
      <c r="Z344" s="4">
        <f t="shared" si="127"/>
        <v>980200</v>
      </c>
      <c r="AA344" s="8">
        <f>AB344/365*250</f>
        <v>251763.69863013699</v>
      </c>
      <c r="AB344" s="8">
        <f t="shared" si="125"/>
        <v>367575</v>
      </c>
      <c r="AC344" s="4">
        <f t="shared" si="122"/>
        <v>367575</v>
      </c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</row>
    <row r="345" spans="1:61" s="95" customFormat="1" ht="27.6" customHeight="1" x14ac:dyDescent="0.2">
      <c r="A345" s="9">
        <v>335</v>
      </c>
      <c r="B345" s="58" t="s">
        <v>636</v>
      </c>
      <c r="C345" s="9" t="s">
        <v>213</v>
      </c>
      <c r="D345" s="59">
        <v>15506000</v>
      </c>
      <c r="E345" s="9"/>
      <c r="F345" s="9"/>
      <c r="G345" s="62"/>
      <c r="H345" s="54">
        <v>7</v>
      </c>
      <c r="I345" s="34"/>
      <c r="J345" s="34"/>
      <c r="K345" s="34"/>
      <c r="L345" s="8"/>
      <c r="M345" s="8">
        <v>15506000</v>
      </c>
      <c r="N345" s="90">
        <v>15506000</v>
      </c>
      <c r="O345" s="18"/>
      <c r="P345" s="18"/>
      <c r="Q345" s="18"/>
      <c r="R345" s="4"/>
      <c r="S345" s="90">
        <f t="shared" si="126"/>
        <v>15506000</v>
      </c>
      <c r="T345" s="4">
        <v>0</v>
      </c>
      <c r="U345" s="4">
        <v>0</v>
      </c>
      <c r="V345" s="92"/>
      <c r="W345" s="92"/>
      <c r="X345" s="4"/>
      <c r="Y345" s="4"/>
      <c r="Z345" s="4">
        <f t="shared" si="127"/>
        <v>3101200</v>
      </c>
      <c r="AA345" s="8">
        <f>AB345/365*6</f>
        <v>17842.520547945205</v>
      </c>
      <c r="AB345" s="8">
        <f>N345*7/100</f>
        <v>1085420</v>
      </c>
      <c r="AC345" s="4">
        <f t="shared" si="122"/>
        <v>1085420</v>
      </c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</row>
    <row r="346" spans="1:61" s="95" customFormat="1" ht="27.6" customHeight="1" x14ac:dyDescent="0.2">
      <c r="A346" s="80">
        <v>336</v>
      </c>
      <c r="B346" s="58" t="s">
        <v>636</v>
      </c>
      <c r="C346" s="9" t="s">
        <v>213</v>
      </c>
      <c r="D346" s="59">
        <v>4532000</v>
      </c>
      <c r="E346" s="9"/>
      <c r="F346" s="9"/>
      <c r="G346" s="62"/>
      <c r="H346" s="54">
        <v>7</v>
      </c>
      <c r="I346" s="34"/>
      <c r="J346" s="34"/>
      <c r="K346" s="34"/>
      <c r="L346" s="8"/>
      <c r="M346" s="8">
        <v>4532000</v>
      </c>
      <c r="N346" s="90">
        <v>4532000</v>
      </c>
      <c r="O346" s="18"/>
      <c r="P346" s="18"/>
      <c r="Q346" s="18"/>
      <c r="R346" s="4"/>
      <c r="S346" s="90">
        <f t="shared" si="126"/>
        <v>4532000</v>
      </c>
      <c r="T346" s="4">
        <v>0</v>
      </c>
      <c r="U346" s="4">
        <v>0</v>
      </c>
      <c r="V346" s="92"/>
      <c r="W346" s="92"/>
      <c r="X346" s="4"/>
      <c r="Y346" s="4"/>
      <c r="Z346" s="4">
        <f t="shared" si="127"/>
        <v>906400</v>
      </c>
      <c r="AA346" s="8">
        <f>AB346/365*6</f>
        <v>5214.9041095890407</v>
      </c>
      <c r="AB346" s="8">
        <f>N346*7/100</f>
        <v>317240</v>
      </c>
      <c r="AC346" s="4">
        <f t="shared" si="122"/>
        <v>317240.00000000006</v>
      </c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</row>
    <row r="347" spans="1:61" s="95" customFormat="1" ht="27.6" customHeight="1" x14ac:dyDescent="0.2">
      <c r="A347" s="9">
        <v>337</v>
      </c>
      <c r="B347" s="58" t="s">
        <v>636</v>
      </c>
      <c r="C347" s="9" t="s">
        <v>213</v>
      </c>
      <c r="D347" s="59">
        <v>1574000</v>
      </c>
      <c r="E347" s="9"/>
      <c r="F347" s="9"/>
      <c r="G347" s="62"/>
      <c r="H347" s="54">
        <v>7</v>
      </c>
      <c r="I347" s="34"/>
      <c r="J347" s="34"/>
      <c r="K347" s="34"/>
      <c r="L347" s="8"/>
      <c r="M347" s="8">
        <v>1574000</v>
      </c>
      <c r="N347" s="90">
        <v>1574000</v>
      </c>
      <c r="O347" s="18"/>
      <c r="P347" s="18"/>
      <c r="Q347" s="18"/>
      <c r="R347" s="4"/>
      <c r="S347" s="90">
        <f t="shared" si="126"/>
        <v>1574000</v>
      </c>
      <c r="T347" s="4">
        <v>0</v>
      </c>
      <c r="U347" s="4">
        <v>0</v>
      </c>
      <c r="V347" s="92"/>
      <c r="W347" s="92"/>
      <c r="X347" s="4"/>
      <c r="Y347" s="4"/>
      <c r="Z347" s="4">
        <f t="shared" si="127"/>
        <v>314800</v>
      </c>
      <c r="AA347" s="8">
        <f>AB347/365*6</f>
        <v>1811.178082191781</v>
      </c>
      <c r="AB347" s="8">
        <f>N347*7/100</f>
        <v>110180</v>
      </c>
      <c r="AC347" s="4">
        <f t="shared" si="122"/>
        <v>110180.00000000001</v>
      </c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</row>
    <row r="348" spans="1:61" s="95" customFormat="1" ht="27.6" customHeight="1" x14ac:dyDescent="0.2">
      <c r="A348" s="80">
        <v>338</v>
      </c>
      <c r="B348" s="58" t="s">
        <v>640</v>
      </c>
      <c r="C348" s="9" t="s">
        <v>213</v>
      </c>
      <c r="D348" s="59">
        <v>181000</v>
      </c>
      <c r="E348" s="9"/>
      <c r="F348" s="9"/>
      <c r="G348" s="62"/>
      <c r="H348" s="54">
        <v>6.75</v>
      </c>
      <c r="I348" s="34"/>
      <c r="J348" s="34"/>
      <c r="K348" s="34"/>
      <c r="L348" s="8"/>
      <c r="M348" s="8">
        <v>0</v>
      </c>
      <c r="N348" s="90">
        <f>D348</f>
        <v>181000</v>
      </c>
      <c r="O348" s="18"/>
      <c r="P348" s="18"/>
      <c r="Q348" s="18"/>
      <c r="R348" s="4"/>
      <c r="S348" s="90">
        <f t="shared" si="126"/>
        <v>181000</v>
      </c>
      <c r="T348" s="4">
        <v>0</v>
      </c>
      <c r="U348" s="4">
        <v>0</v>
      </c>
      <c r="V348" s="92"/>
      <c r="W348" s="92"/>
      <c r="X348" s="4"/>
      <c r="Y348" s="4"/>
      <c r="Z348" s="4">
        <v>0</v>
      </c>
      <c r="AA348" s="8">
        <f>AB348/365*316</f>
        <v>10577.342465753425</v>
      </c>
      <c r="AB348" s="8">
        <f>N348*6.75/100</f>
        <v>12217.5</v>
      </c>
      <c r="AC348" s="4">
        <f t="shared" si="122"/>
        <v>12217.5</v>
      </c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</row>
    <row r="349" spans="1:61" s="95" customFormat="1" ht="27.6" customHeight="1" x14ac:dyDescent="0.2">
      <c r="A349" s="9">
        <v>339</v>
      </c>
      <c r="B349" s="58" t="s">
        <v>640</v>
      </c>
      <c r="C349" s="9" t="s">
        <v>213</v>
      </c>
      <c r="D349" s="59">
        <v>56861000</v>
      </c>
      <c r="E349" s="9"/>
      <c r="F349" s="9"/>
      <c r="G349" s="62"/>
      <c r="H349" s="54">
        <v>6.75</v>
      </c>
      <c r="I349" s="34"/>
      <c r="J349" s="34"/>
      <c r="K349" s="34"/>
      <c r="L349" s="8"/>
      <c r="M349" s="8">
        <v>0</v>
      </c>
      <c r="N349" s="90">
        <f t="shared" ref="N349:N350" si="128">D349</f>
        <v>56861000</v>
      </c>
      <c r="O349" s="18"/>
      <c r="P349" s="18"/>
      <c r="Q349" s="18"/>
      <c r="R349" s="4"/>
      <c r="S349" s="90">
        <f t="shared" si="126"/>
        <v>56861000</v>
      </c>
      <c r="T349" s="4">
        <v>0</v>
      </c>
      <c r="U349" s="4">
        <v>0</v>
      </c>
      <c r="V349" s="92"/>
      <c r="W349" s="92"/>
      <c r="X349" s="4"/>
      <c r="Y349" s="4"/>
      <c r="Z349" s="4">
        <v>0</v>
      </c>
      <c r="AA349" s="8">
        <f t="shared" ref="AA349:AA350" si="129">AB349/365*316</f>
        <v>3322863.3698630137</v>
      </c>
      <c r="AB349" s="8">
        <f t="shared" ref="AB349:AB350" si="130">N349*6.75/100</f>
        <v>3838117.5</v>
      </c>
      <c r="AC349" s="4">
        <f t="shared" si="122"/>
        <v>3838117.5000000005</v>
      </c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</row>
    <row r="350" spans="1:61" s="95" customFormat="1" ht="27.6" customHeight="1" x14ac:dyDescent="0.2">
      <c r="A350" s="80">
        <v>340</v>
      </c>
      <c r="B350" s="58" t="s">
        <v>640</v>
      </c>
      <c r="C350" s="9" t="s">
        <v>213</v>
      </c>
      <c r="D350" s="59">
        <v>8476000</v>
      </c>
      <c r="E350" s="9"/>
      <c r="F350" s="9"/>
      <c r="G350" s="62"/>
      <c r="H350" s="54">
        <v>6.75</v>
      </c>
      <c r="I350" s="34"/>
      <c r="J350" s="34"/>
      <c r="K350" s="34"/>
      <c r="L350" s="8"/>
      <c r="M350" s="8">
        <v>0</v>
      </c>
      <c r="N350" s="90">
        <f t="shared" si="128"/>
        <v>8476000</v>
      </c>
      <c r="O350" s="18"/>
      <c r="P350" s="18"/>
      <c r="Q350" s="18"/>
      <c r="R350" s="4"/>
      <c r="S350" s="90">
        <f t="shared" si="126"/>
        <v>8476000</v>
      </c>
      <c r="T350" s="4">
        <v>0</v>
      </c>
      <c r="U350" s="4">
        <v>0</v>
      </c>
      <c r="V350" s="92"/>
      <c r="W350" s="92"/>
      <c r="X350" s="4"/>
      <c r="Y350" s="4"/>
      <c r="Z350" s="4">
        <v>0</v>
      </c>
      <c r="AA350" s="8">
        <f t="shared" si="129"/>
        <v>495323.50684931508</v>
      </c>
      <c r="AB350" s="8">
        <f t="shared" si="130"/>
        <v>572130</v>
      </c>
      <c r="AC350" s="4">
        <f t="shared" si="122"/>
        <v>572130</v>
      </c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</row>
    <row r="351" spans="1:61" s="95" customFormat="1" ht="27.6" customHeight="1" x14ac:dyDescent="0.2">
      <c r="A351" s="9">
        <v>341</v>
      </c>
      <c r="B351" s="58" t="s">
        <v>650</v>
      </c>
      <c r="C351" s="9" t="s">
        <v>213</v>
      </c>
      <c r="D351" s="59">
        <v>4022000</v>
      </c>
      <c r="E351" s="9"/>
      <c r="F351" s="9"/>
      <c r="G351" s="62"/>
      <c r="H351" s="54">
        <v>8.75</v>
      </c>
      <c r="I351" s="34"/>
      <c r="J351" s="34"/>
      <c r="K351" s="34"/>
      <c r="L351" s="8"/>
      <c r="M351" s="8">
        <v>0</v>
      </c>
      <c r="N351" s="90">
        <f t="shared" ref="N351:N361" si="131">D351</f>
        <v>4022000</v>
      </c>
      <c r="O351" s="18"/>
      <c r="P351" s="18"/>
      <c r="Q351" s="18"/>
      <c r="R351" s="4"/>
      <c r="S351" s="90">
        <f t="shared" si="126"/>
        <v>4022000</v>
      </c>
      <c r="T351" s="4">
        <v>0</v>
      </c>
      <c r="U351" s="4">
        <v>0</v>
      </c>
      <c r="V351" s="92"/>
      <c r="W351" s="92"/>
      <c r="X351" s="4"/>
      <c r="Y351" s="4"/>
      <c r="Z351" s="4">
        <v>0</v>
      </c>
      <c r="AA351" s="8">
        <f>AB351/365*226</f>
        <v>217904.24657534246</v>
      </c>
      <c r="AB351" s="8">
        <f>N351*8.75/100</f>
        <v>351925</v>
      </c>
      <c r="AC351" s="4">
        <f t="shared" si="122"/>
        <v>351925</v>
      </c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</row>
    <row r="352" spans="1:61" s="95" customFormat="1" ht="27.6" customHeight="1" x14ac:dyDescent="0.2">
      <c r="A352" s="80">
        <v>342</v>
      </c>
      <c r="B352" s="58" t="s">
        <v>653</v>
      </c>
      <c r="C352" s="9" t="s">
        <v>213</v>
      </c>
      <c r="D352" s="59">
        <v>1495000</v>
      </c>
      <c r="E352" s="9"/>
      <c r="F352" s="9"/>
      <c r="G352" s="62"/>
      <c r="H352" s="54">
        <v>8.75</v>
      </c>
      <c r="I352" s="34"/>
      <c r="J352" s="34"/>
      <c r="K352" s="34"/>
      <c r="L352" s="8"/>
      <c r="M352" s="8">
        <v>0</v>
      </c>
      <c r="N352" s="90">
        <f t="shared" si="131"/>
        <v>1495000</v>
      </c>
      <c r="O352" s="18"/>
      <c r="P352" s="18"/>
      <c r="Q352" s="18"/>
      <c r="R352" s="4"/>
      <c r="S352" s="90">
        <f t="shared" si="126"/>
        <v>1495000</v>
      </c>
      <c r="T352" s="4">
        <v>0</v>
      </c>
      <c r="U352" s="4">
        <v>0</v>
      </c>
      <c r="V352" s="92"/>
      <c r="W352" s="92"/>
      <c r="X352" s="4"/>
      <c r="Y352" s="4"/>
      <c r="Z352" s="4">
        <v>0</v>
      </c>
      <c r="AA352" s="8">
        <f>AB352/365*210</f>
        <v>75261.986301369863</v>
      </c>
      <c r="AB352" s="8">
        <f t="shared" ref="AB352" si="132">N352*8.75/100</f>
        <v>130812.5</v>
      </c>
      <c r="AC352" s="4">
        <f t="shared" si="122"/>
        <v>130812.49999999999</v>
      </c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</row>
    <row r="353" spans="1:61" s="95" customFormat="1" ht="27.6" customHeight="1" x14ac:dyDescent="0.2">
      <c r="A353" s="9">
        <v>343</v>
      </c>
      <c r="B353" s="58" t="s">
        <v>660</v>
      </c>
      <c r="C353" s="9" t="s">
        <v>213</v>
      </c>
      <c r="D353" s="59">
        <v>1623000</v>
      </c>
      <c r="E353" s="9"/>
      <c r="F353" s="9"/>
      <c r="G353" s="62"/>
      <c r="H353" s="54">
        <v>7.5</v>
      </c>
      <c r="I353" s="34"/>
      <c r="J353" s="34"/>
      <c r="K353" s="34"/>
      <c r="L353" s="8"/>
      <c r="M353" s="8">
        <v>0</v>
      </c>
      <c r="N353" s="90">
        <f t="shared" si="131"/>
        <v>1623000</v>
      </c>
      <c r="O353" s="18"/>
      <c r="P353" s="18"/>
      <c r="Q353" s="18"/>
      <c r="R353" s="4"/>
      <c r="S353" s="90">
        <f t="shared" si="126"/>
        <v>1623000</v>
      </c>
      <c r="T353" s="4">
        <v>0</v>
      </c>
      <c r="U353" s="4">
        <v>0</v>
      </c>
      <c r="V353" s="92"/>
      <c r="W353" s="92"/>
      <c r="X353" s="4"/>
      <c r="Y353" s="4"/>
      <c r="Z353" s="4">
        <v>0</v>
      </c>
      <c r="AA353" s="8">
        <f>AB353/365*167</f>
        <v>55693.356164383556</v>
      </c>
      <c r="AB353" s="8">
        <f>N353*7.5/100</f>
        <v>121725</v>
      </c>
      <c r="AC353" s="4">
        <f t="shared" si="122"/>
        <v>121725</v>
      </c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</row>
    <row r="354" spans="1:61" s="95" customFormat="1" ht="27.6" customHeight="1" x14ac:dyDescent="0.2">
      <c r="A354" s="80">
        <v>344</v>
      </c>
      <c r="B354" s="58" t="s">
        <v>665</v>
      </c>
      <c r="C354" s="9" t="s">
        <v>213</v>
      </c>
      <c r="D354" s="59">
        <v>1244000</v>
      </c>
      <c r="E354" s="9"/>
      <c r="F354" s="9"/>
      <c r="G354" s="62"/>
      <c r="H354" s="54">
        <v>7.25</v>
      </c>
      <c r="I354" s="34"/>
      <c r="J354" s="34"/>
      <c r="K354" s="34"/>
      <c r="L354" s="8"/>
      <c r="M354" s="8">
        <v>0</v>
      </c>
      <c r="N354" s="90">
        <f t="shared" si="131"/>
        <v>1244000</v>
      </c>
      <c r="O354" s="18"/>
      <c r="P354" s="18"/>
      <c r="Q354" s="18"/>
      <c r="R354" s="4"/>
      <c r="S354" s="90">
        <f t="shared" si="126"/>
        <v>1244000</v>
      </c>
      <c r="T354" s="4">
        <v>0</v>
      </c>
      <c r="U354" s="4">
        <v>0</v>
      </c>
      <c r="V354" s="92"/>
      <c r="W354" s="92"/>
      <c r="X354" s="4"/>
      <c r="Y354" s="4"/>
      <c r="Z354" s="4">
        <v>0</v>
      </c>
      <c r="AA354" s="8">
        <f>AB354/365*127</f>
        <v>31381.178082191782</v>
      </c>
      <c r="AB354" s="8">
        <f>N354*7.25/100</f>
        <v>90190</v>
      </c>
      <c r="AC354" s="4">
        <f t="shared" si="122"/>
        <v>90190</v>
      </c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</row>
    <row r="355" spans="1:61" s="95" customFormat="1" ht="27.6" customHeight="1" x14ac:dyDescent="0.2">
      <c r="A355" s="9">
        <v>345</v>
      </c>
      <c r="B355" s="58" t="s">
        <v>665</v>
      </c>
      <c r="C355" s="9" t="s">
        <v>213</v>
      </c>
      <c r="D355" s="59">
        <v>1436000</v>
      </c>
      <c r="E355" s="9"/>
      <c r="F355" s="9"/>
      <c r="G355" s="62"/>
      <c r="H355" s="54">
        <v>7.25</v>
      </c>
      <c r="I355" s="34"/>
      <c r="J355" s="34"/>
      <c r="K355" s="34"/>
      <c r="L355" s="8"/>
      <c r="M355" s="8">
        <v>0</v>
      </c>
      <c r="N355" s="90">
        <f t="shared" si="131"/>
        <v>1436000</v>
      </c>
      <c r="O355" s="18"/>
      <c r="P355" s="18"/>
      <c r="Q355" s="18"/>
      <c r="R355" s="4"/>
      <c r="S355" s="90">
        <f t="shared" si="126"/>
        <v>1436000</v>
      </c>
      <c r="T355" s="4">
        <v>0</v>
      </c>
      <c r="U355" s="4">
        <v>0</v>
      </c>
      <c r="V355" s="92"/>
      <c r="W355" s="92"/>
      <c r="X355" s="4"/>
      <c r="Y355" s="4"/>
      <c r="Z355" s="4">
        <v>0</v>
      </c>
      <c r="AA355" s="8">
        <f>AB355/365*127</f>
        <v>36224.57534246576</v>
      </c>
      <c r="AB355" s="8">
        <f>N355*7.25/100</f>
        <v>104110</v>
      </c>
      <c r="AC355" s="4">
        <f t="shared" si="122"/>
        <v>104110</v>
      </c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</row>
    <row r="356" spans="1:61" s="95" customFormat="1" ht="27.6" customHeight="1" x14ac:dyDescent="0.2">
      <c r="A356" s="80">
        <v>346</v>
      </c>
      <c r="B356" s="58" t="s">
        <v>667</v>
      </c>
      <c r="C356" s="9" t="s">
        <v>213</v>
      </c>
      <c r="D356" s="59">
        <v>10652000</v>
      </c>
      <c r="E356" s="9"/>
      <c r="F356" s="9"/>
      <c r="G356" s="62"/>
      <c r="H356" s="54">
        <v>7.25</v>
      </c>
      <c r="I356" s="34"/>
      <c r="J356" s="34"/>
      <c r="K356" s="34"/>
      <c r="L356" s="8"/>
      <c r="M356" s="8">
        <v>0</v>
      </c>
      <c r="N356" s="90">
        <f t="shared" si="131"/>
        <v>10652000</v>
      </c>
      <c r="O356" s="18"/>
      <c r="P356" s="18"/>
      <c r="Q356" s="18"/>
      <c r="R356" s="4"/>
      <c r="S356" s="90">
        <f t="shared" si="126"/>
        <v>10652000</v>
      </c>
      <c r="T356" s="4">
        <v>0</v>
      </c>
      <c r="U356" s="4">
        <v>0</v>
      </c>
      <c r="V356" s="92"/>
      <c r="W356" s="92"/>
      <c r="X356" s="4"/>
      <c r="Y356" s="4"/>
      <c r="Z356" s="4">
        <v>0</v>
      </c>
      <c r="AA356" s="8">
        <f>AB356/365*114</f>
        <v>241202.13698630137</v>
      </c>
      <c r="AB356" s="8">
        <f>N356*7.25/100</f>
        <v>772270</v>
      </c>
      <c r="AC356" s="4">
        <f t="shared" si="122"/>
        <v>772270</v>
      </c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</row>
    <row r="357" spans="1:61" s="95" customFormat="1" ht="27.6" customHeight="1" x14ac:dyDescent="0.2">
      <c r="A357" s="9">
        <v>347</v>
      </c>
      <c r="B357" s="58" t="s">
        <v>668</v>
      </c>
      <c r="C357" s="9" t="s">
        <v>213</v>
      </c>
      <c r="D357" s="59">
        <v>5876000</v>
      </c>
      <c r="E357" s="9"/>
      <c r="F357" s="9"/>
      <c r="G357" s="62"/>
      <c r="H357" s="54">
        <v>7.25</v>
      </c>
      <c r="I357" s="34"/>
      <c r="J357" s="34"/>
      <c r="K357" s="34"/>
      <c r="L357" s="8"/>
      <c r="M357" s="8">
        <v>0</v>
      </c>
      <c r="N357" s="90">
        <f t="shared" si="131"/>
        <v>5876000</v>
      </c>
      <c r="O357" s="18"/>
      <c r="P357" s="18"/>
      <c r="Q357" s="18"/>
      <c r="R357" s="4"/>
      <c r="S357" s="90">
        <f t="shared" si="126"/>
        <v>5876000</v>
      </c>
      <c r="T357" s="4">
        <v>0</v>
      </c>
      <c r="U357" s="4">
        <v>0</v>
      </c>
      <c r="V357" s="92"/>
      <c r="W357" s="92"/>
      <c r="X357" s="4"/>
      <c r="Y357" s="4"/>
      <c r="Z357" s="4">
        <v>0</v>
      </c>
      <c r="AA357" s="8">
        <f>AB357/365*105</f>
        <v>122550.82191780822</v>
      </c>
      <c r="AB357" s="8">
        <f t="shared" ref="AB357:AB359" si="133">N357*7.25/100</f>
        <v>426010</v>
      </c>
      <c r="AC357" s="4">
        <f t="shared" si="122"/>
        <v>426009.99999999994</v>
      </c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</row>
    <row r="358" spans="1:61" s="95" customFormat="1" ht="27.6" customHeight="1" x14ac:dyDescent="0.2">
      <c r="A358" s="80">
        <v>348</v>
      </c>
      <c r="B358" s="58" t="s">
        <v>668</v>
      </c>
      <c r="C358" s="9" t="s">
        <v>213</v>
      </c>
      <c r="D358" s="59">
        <v>100000</v>
      </c>
      <c r="E358" s="9"/>
      <c r="F358" s="9"/>
      <c r="G358" s="62"/>
      <c r="H358" s="54">
        <v>7.25</v>
      </c>
      <c r="I358" s="34"/>
      <c r="J358" s="34"/>
      <c r="K358" s="34"/>
      <c r="L358" s="8"/>
      <c r="M358" s="8">
        <v>0</v>
      </c>
      <c r="N358" s="90">
        <f t="shared" si="131"/>
        <v>100000</v>
      </c>
      <c r="O358" s="18"/>
      <c r="P358" s="18"/>
      <c r="Q358" s="18"/>
      <c r="R358" s="4"/>
      <c r="S358" s="90">
        <f t="shared" si="126"/>
        <v>100000</v>
      </c>
      <c r="T358" s="4">
        <v>0</v>
      </c>
      <c r="U358" s="4">
        <v>0</v>
      </c>
      <c r="V358" s="92"/>
      <c r="W358" s="92"/>
      <c r="X358" s="4"/>
      <c r="Y358" s="4"/>
      <c r="Z358" s="4">
        <v>0</v>
      </c>
      <c r="AA358" s="8">
        <f t="shared" ref="AA358:AA359" si="134">AB358/365*105</f>
        <v>2085.6164383561645</v>
      </c>
      <c r="AB358" s="8">
        <f t="shared" si="133"/>
        <v>7250</v>
      </c>
      <c r="AC358" s="4">
        <f t="shared" si="122"/>
        <v>7249.9999999999991</v>
      </c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</row>
    <row r="359" spans="1:61" s="95" customFormat="1" ht="27.6" customHeight="1" x14ac:dyDescent="0.2">
      <c r="A359" s="9">
        <v>349</v>
      </c>
      <c r="B359" s="58" t="s">
        <v>668</v>
      </c>
      <c r="C359" s="9" t="s">
        <v>213</v>
      </c>
      <c r="D359" s="59">
        <v>8246000</v>
      </c>
      <c r="E359" s="9"/>
      <c r="F359" s="9"/>
      <c r="G359" s="62"/>
      <c r="H359" s="54">
        <v>7.25</v>
      </c>
      <c r="I359" s="34"/>
      <c r="J359" s="34"/>
      <c r="K359" s="34"/>
      <c r="L359" s="8"/>
      <c r="M359" s="8">
        <v>0</v>
      </c>
      <c r="N359" s="90">
        <f t="shared" si="131"/>
        <v>8246000</v>
      </c>
      <c r="O359" s="18"/>
      <c r="P359" s="18"/>
      <c r="Q359" s="18"/>
      <c r="R359" s="4"/>
      <c r="S359" s="90">
        <f t="shared" si="126"/>
        <v>8246000</v>
      </c>
      <c r="T359" s="4">
        <v>0</v>
      </c>
      <c r="U359" s="4">
        <v>0</v>
      </c>
      <c r="V359" s="92"/>
      <c r="W359" s="92"/>
      <c r="X359" s="4"/>
      <c r="Y359" s="4"/>
      <c r="Z359" s="4">
        <v>0</v>
      </c>
      <c r="AA359" s="8">
        <f t="shared" si="134"/>
        <v>171979.93150684933</v>
      </c>
      <c r="AB359" s="8">
        <f t="shared" si="133"/>
        <v>597835</v>
      </c>
      <c r="AC359" s="4">
        <f t="shared" si="122"/>
        <v>597835</v>
      </c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</row>
    <row r="360" spans="1:61" s="95" customFormat="1" ht="27.6" customHeight="1" x14ac:dyDescent="0.2">
      <c r="A360" s="80">
        <v>350</v>
      </c>
      <c r="B360" s="58" t="s">
        <v>744</v>
      </c>
      <c r="C360" s="9" t="s">
        <v>213</v>
      </c>
      <c r="D360" s="59">
        <v>3188000</v>
      </c>
      <c r="E360" s="9"/>
      <c r="F360" s="9"/>
      <c r="G360" s="62"/>
      <c r="H360" s="54">
        <v>7.5</v>
      </c>
      <c r="I360" s="34"/>
      <c r="J360" s="34"/>
      <c r="K360" s="34"/>
      <c r="L360" s="8"/>
      <c r="M360" s="8">
        <v>0</v>
      </c>
      <c r="N360" s="90">
        <f t="shared" si="131"/>
        <v>3188000</v>
      </c>
      <c r="O360" s="18"/>
      <c r="P360" s="18"/>
      <c r="Q360" s="18"/>
      <c r="R360" s="4"/>
      <c r="S360" s="90">
        <f t="shared" si="126"/>
        <v>3188000</v>
      </c>
      <c r="T360" s="4">
        <v>0</v>
      </c>
      <c r="U360" s="4">
        <v>0</v>
      </c>
      <c r="V360" s="92"/>
      <c r="W360" s="92"/>
      <c r="X360" s="4"/>
      <c r="Y360" s="4"/>
      <c r="Z360" s="4">
        <v>0</v>
      </c>
      <c r="AA360" s="8">
        <f>(N360*7.5%)/365*39</f>
        <v>25547.671232876713</v>
      </c>
      <c r="AB360" s="8">
        <f>N360*7.5/100</f>
        <v>239100</v>
      </c>
      <c r="AC360" s="4">
        <f t="shared" si="122"/>
        <v>239100</v>
      </c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</row>
    <row r="361" spans="1:61" s="95" customFormat="1" ht="27.6" customHeight="1" x14ac:dyDescent="0.2">
      <c r="A361" s="9">
        <v>351</v>
      </c>
      <c r="B361" s="58" t="s">
        <v>755</v>
      </c>
      <c r="C361" s="9" t="s">
        <v>213</v>
      </c>
      <c r="D361" s="59">
        <v>3159000</v>
      </c>
      <c r="E361" s="9"/>
      <c r="F361" s="9"/>
      <c r="G361" s="62"/>
      <c r="H361" s="54">
        <v>7.5</v>
      </c>
      <c r="I361" s="34"/>
      <c r="J361" s="34"/>
      <c r="K361" s="34"/>
      <c r="L361" s="8"/>
      <c r="M361" s="8">
        <v>0</v>
      </c>
      <c r="N361" s="90">
        <f t="shared" si="131"/>
        <v>3159000</v>
      </c>
      <c r="O361" s="18"/>
      <c r="P361" s="18"/>
      <c r="Q361" s="18"/>
      <c r="R361" s="4"/>
      <c r="S361" s="90">
        <f t="shared" si="126"/>
        <v>3159000</v>
      </c>
      <c r="T361" s="4">
        <v>0</v>
      </c>
      <c r="U361" s="4">
        <v>0</v>
      </c>
      <c r="V361" s="92"/>
      <c r="W361" s="92"/>
      <c r="X361" s="4"/>
      <c r="Y361" s="4"/>
      <c r="Z361" s="4">
        <v>0</v>
      </c>
      <c r="AA361" s="8">
        <f>(N361*7.5%)/365*5</f>
        <v>3245.5479452054797</v>
      </c>
      <c r="AB361" s="8">
        <f>N361*7.5/100</f>
        <v>236925</v>
      </c>
      <c r="AC361" s="4">
        <f t="shared" si="122"/>
        <v>236925</v>
      </c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</row>
    <row r="362" spans="1:61" s="95" customFormat="1" ht="27.6" customHeight="1" x14ac:dyDescent="0.2">
      <c r="A362" s="80">
        <v>352</v>
      </c>
      <c r="B362" s="58" t="s">
        <v>771</v>
      </c>
      <c r="C362" s="9" t="s">
        <v>213</v>
      </c>
      <c r="D362" s="59">
        <v>1499000</v>
      </c>
      <c r="E362" s="9"/>
      <c r="F362" s="9"/>
      <c r="G362" s="62"/>
      <c r="H362" s="54">
        <v>7.5</v>
      </c>
      <c r="I362" s="34"/>
      <c r="J362" s="34"/>
      <c r="K362" s="34"/>
      <c r="L362" s="8"/>
      <c r="M362" s="8">
        <v>0</v>
      </c>
      <c r="N362" s="90">
        <v>0</v>
      </c>
      <c r="O362" s="18"/>
      <c r="P362" s="18"/>
      <c r="Q362" s="18"/>
      <c r="R362" s="4"/>
      <c r="S362" s="90">
        <f>D362</f>
        <v>1499000</v>
      </c>
      <c r="T362" s="4">
        <v>0</v>
      </c>
      <c r="U362" s="4">
        <v>0</v>
      </c>
      <c r="V362" s="92"/>
      <c r="W362" s="92"/>
      <c r="X362" s="4"/>
      <c r="Y362" s="4"/>
      <c r="Z362" s="4">
        <v>0</v>
      </c>
      <c r="AA362" s="8">
        <v>0</v>
      </c>
      <c r="AB362" s="8">
        <f>(S362*7.5%)/365*191</f>
        <v>58830.61643835617</v>
      </c>
      <c r="AC362" s="4">
        <f t="shared" si="122"/>
        <v>112425</v>
      </c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</row>
    <row r="363" spans="1:61" s="95" customFormat="1" ht="27.6" customHeight="1" x14ac:dyDescent="0.2">
      <c r="A363" s="9">
        <v>353</v>
      </c>
      <c r="B363" s="58" t="s">
        <v>793</v>
      </c>
      <c r="C363" s="9" t="s">
        <v>213</v>
      </c>
      <c r="D363" s="59">
        <v>2145000</v>
      </c>
      <c r="E363" s="9"/>
      <c r="F363" s="9"/>
      <c r="G363" s="62"/>
      <c r="H363" s="54">
        <v>7.25</v>
      </c>
      <c r="I363" s="34"/>
      <c r="J363" s="34"/>
      <c r="K363" s="34"/>
      <c r="L363" s="8"/>
      <c r="M363" s="8">
        <v>0</v>
      </c>
      <c r="N363" s="90">
        <v>0</v>
      </c>
      <c r="O363" s="18"/>
      <c r="P363" s="18"/>
      <c r="Q363" s="18"/>
      <c r="R363" s="4"/>
      <c r="S363" s="90">
        <f>D363</f>
        <v>2145000</v>
      </c>
      <c r="T363" s="4">
        <v>0</v>
      </c>
      <c r="U363" s="4">
        <v>0</v>
      </c>
      <c r="V363" s="92"/>
      <c r="W363" s="92"/>
      <c r="X363" s="4"/>
      <c r="Y363" s="4"/>
      <c r="Z363" s="4">
        <v>0</v>
      </c>
      <c r="AA363" s="8">
        <v>0</v>
      </c>
      <c r="AB363" s="8">
        <f>(S363*7.25%)/365*71</f>
        <v>30250.376712328769</v>
      </c>
      <c r="AC363" s="4">
        <f t="shared" si="122"/>
        <v>155512.5</v>
      </c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</row>
    <row r="364" spans="1:61" s="107" customFormat="1" ht="36.75" customHeight="1" x14ac:dyDescent="0.2">
      <c r="A364" s="114"/>
      <c r="B364" s="110"/>
      <c r="C364" s="105" t="s">
        <v>123</v>
      </c>
      <c r="D364" s="109">
        <f>SUM(D138:D363)</f>
        <v>5119099000</v>
      </c>
      <c r="E364" s="109">
        <f>SUM(E138:E185)</f>
        <v>336</v>
      </c>
      <c r="F364" s="109">
        <f>SUM(F138:F185)</f>
        <v>96</v>
      </c>
      <c r="G364" s="109">
        <f>SUM(G138:G185)</f>
        <v>0</v>
      </c>
      <c r="H364" s="109"/>
      <c r="I364" s="109">
        <f>SUM(I138:I185)</f>
        <v>0</v>
      </c>
      <c r="J364" s="109">
        <f>SUM(J138:J199)</f>
        <v>1184600000</v>
      </c>
      <c r="K364" s="109">
        <f>SUM(K138:K318)</f>
        <v>4181644000</v>
      </c>
      <c r="L364" s="109">
        <f>SUM(L138:L344)</f>
        <v>4355133000</v>
      </c>
      <c r="M364" s="109">
        <f t="shared" ref="M364:AC364" si="135">SUM(M138:M363)</f>
        <v>3314910600</v>
      </c>
      <c r="N364" s="109">
        <f t="shared" si="135"/>
        <v>2503059400</v>
      </c>
      <c r="O364" s="109">
        <f t="shared" si="135"/>
        <v>0</v>
      </c>
      <c r="P364" s="109">
        <f t="shared" si="135"/>
        <v>0</v>
      </c>
      <c r="Q364" s="109">
        <f t="shared" si="135"/>
        <v>236920000</v>
      </c>
      <c r="R364" s="109">
        <f t="shared" si="135"/>
        <v>620736000</v>
      </c>
      <c r="S364" s="109">
        <f t="shared" si="135"/>
        <v>1517868200</v>
      </c>
      <c r="T364" s="109">
        <f t="shared" si="135"/>
        <v>918411200</v>
      </c>
      <c r="U364" s="109">
        <f t="shared" si="135"/>
        <v>988835200</v>
      </c>
      <c r="V364" s="109">
        <f t="shared" si="135"/>
        <v>11528210</v>
      </c>
      <c r="W364" s="109">
        <f t="shared" si="135"/>
        <v>240887368.19544876</v>
      </c>
      <c r="X364" s="109">
        <f t="shared" si="135"/>
        <v>283654819</v>
      </c>
      <c r="Y364" s="109">
        <f t="shared" si="135"/>
        <v>370526093</v>
      </c>
      <c r="Z364" s="109">
        <f t="shared" si="135"/>
        <v>764858800</v>
      </c>
      <c r="AA364" s="109">
        <f t="shared" si="135"/>
        <v>218542881.42465758</v>
      </c>
      <c r="AB364" s="109">
        <f t="shared" si="135"/>
        <v>163901394.49315068</v>
      </c>
      <c r="AC364" s="109">
        <f t="shared" si="135"/>
        <v>99805963</v>
      </c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</row>
    <row r="365" spans="1:61" s="145" customFormat="1" ht="27.6" customHeight="1" x14ac:dyDescent="0.2">
      <c r="A365" s="138">
        <v>354</v>
      </c>
      <c r="B365" s="139" t="s">
        <v>233</v>
      </c>
      <c r="C365" s="138" t="s">
        <v>221</v>
      </c>
      <c r="D365" s="140">
        <v>471000000</v>
      </c>
      <c r="E365" s="141"/>
      <c r="F365" s="141"/>
      <c r="G365" s="141"/>
      <c r="H365" s="142">
        <v>6.5</v>
      </c>
      <c r="I365" s="141"/>
      <c r="J365" s="141">
        <v>0</v>
      </c>
      <c r="K365" s="141">
        <f>D365</f>
        <v>471000000</v>
      </c>
      <c r="L365" s="143">
        <f t="shared" ref="L365:L377" si="136">K365-Q365</f>
        <v>471000000</v>
      </c>
      <c r="M365" s="143">
        <v>282600000</v>
      </c>
      <c r="N365" s="143">
        <f t="shared" ref="N365:N408" si="137">M365-U365</f>
        <v>188400000</v>
      </c>
      <c r="O365" s="141"/>
      <c r="P365" s="141">
        <v>0</v>
      </c>
      <c r="Q365" s="141">
        <v>0</v>
      </c>
      <c r="R365" s="144">
        <v>94200000</v>
      </c>
      <c r="S365" s="143">
        <f>N365-U365</f>
        <v>94200000</v>
      </c>
      <c r="T365" s="144">
        <f>R365</f>
        <v>94200000</v>
      </c>
      <c r="U365" s="144">
        <f>T365</f>
        <v>94200000</v>
      </c>
      <c r="V365" s="141"/>
      <c r="W365" s="141">
        <v>7716199</v>
      </c>
      <c r="X365" s="141">
        <v>30615000</v>
      </c>
      <c r="Y365" s="143">
        <v>29155637</v>
      </c>
      <c r="Z365" s="143">
        <f>U365</f>
        <v>94200000</v>
      </c>
      <c r="AA365" s="144">
        <f>M365*6.5/100</f>
        <v>18369000</v>
      </c>
      <c r="AB365" s="143">
        <f>N365*6.5/100</f>
        <v>12246000</v>
      </c>
      <c r="AC365" s="4">
        <f t="shared" ref="AC365:AC428" si="138">S365*H365%</f>
        <v>6123000</v>
      </c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</row>
    <row r="366" spans="1:61" s="37" customFormat="1" ht="27.6" customHeight="1" x14ac:dyDescent="0.2">
      <c r="A366" s="9">
        <v>355</v>
      </c>
      <c r="B366" s="58" t="s">
        <v>234</v>
      </c>
      <c r="C366" s="9" t="s">
        <v>221</v>
      </c>
      <c r="D366" s="71">
        <v>13907000</v>
      </c>
      <c r="E366" s="9">
        <v>7</v>
      </c>
      <c r="F366" s="9">
        <v>2</v>
      </c>
      <c r="G366" s="62" t="s">
        <v>178</v>
      </c>
      <c r="H366" s="54">
        <v>6.5</v>
      </c>
      <c r="I366" s="34"/>
      <c r="J366" s="34">
        <v>0</v>
      </c>
      <c r="K366" s="34">
        <v>13907000</v>
      </c>
      <c r="L366" s="8">
        <f t="shared" si="136"/>
        <v>13907000</v>
      </c>
      <c r="M366" s="8">
        <v>8345000</v>
      </c>
      <c r="N366" s="8">
        <f t="shared" si="137"/>
        <v>5564000</v>
      </c>
      <c r="O366" s="8"/>
      <c r="P366" s="61">
        <v>0</v>
      </c>
      <c r="Q366" s="8">
        <v>0</v>
      </c>
      <c r="R366" s="4">
        <v>2781000</v>
      </c>
      <c r="S366" s="143">
        <f t="shared" ref="S366:S429" si="139">N366-U366</f>
        <v>2783000</v>
      </c>
      <c r="T366" s="4">
        <f t="shared" ref="T366:T377" si="140">R366</f>
        <v>2781000</v>
      </c>
      <c r="U366" s="4">
        <f t="shared" ref="U366:U408" si="141">T366</f>
        <v>2781000</v>
      </c>
      <c r="V366" s="34"/>
      <c r="W366" s="34">
        <v>193174</v>
      </c>
      <c r="X366" s="4">
        <v>903955</v>
      </c>
      <c r="Y366" s="8">
        <v>876182</v>
      </c>
      <c r="Z366" s="143">
        <v>2782000</v>
      </c>
      <c r="AA366" s="4">
        <f>M366*6.5/100</f>
        <v>542425</v>
      </c>
      <c r="AB366" s="8">
        <f t="shared" ref="AB366:AB429" si="142">N366*6.5/100</f>
        <v>361660</v>
      </c>
      <c r="AC366" s="4">
        <f t="shared" si="138"/>
        <v>180895</v>
      </c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</row>
    <row r="367" spans="1:61" s="37" customFormat="1" ht="27.6" customHeight="1" x14ac:dyDescent="0.2">
      <c r="A367" s="138">
        <v>356</v>
      </c>
      <c r="B367" s="58" t="s">
        <v>234</v>
      </c>
      <c r="C367" s="9" t="s">
        <v>221</v>
      </c>
      <c r="D367" s="71">
        <v>109241000</v>
      </c>
      <c r="E367" s="9">
        <v>7</v>
      </c>
      <c r="F367" s="9">
        <v>2</v>
      </c>
      <c r="G367" s="62" t="s">
        <v>178</v>
      </c>
      <c r="H367" s="54">
        <v>6.5</v>
      </c>
      <c r="I367" s="34"/>
      <c r="J367" s="34">
        <v>0</v>
      </c>
      <c r="K367" s="34">
        <v>109241000</v>
      </c>
      <c r="L367" s="8">
        <f t="shared" si="136"/>
        <v>109241000</v>
      </c>
      <c r="M367" s="8">
        <v>65545000</v>
      </c>
      <c r="N367" s="8">
        <f t="shared" si="137"/>
        <v>43697000</v>
      </c>
      <c r="O367" s="8"/>
      <c r="P367" s="61">
        <v>0</v>
      </c>
      <c r="Q367" s="8">
        <v>0</v>
      </c>
      <c r="R367" s="4">
        <v>21848000</v>
      </c>
      <c r="S367" s="143">
        <f t="shared" si="139"/>
        <v>21849000</v>
      </c>
      <c r="T367" s="4">
        <f t="shared" si="140"/>
        <v>21848000</v>
      </c>
      <c r="U367" s="4">
        <f t="shared" si="141"/>
        <v>21848000</v>
      </c>
      <c r="V367" s="34"/>
      <c r="W367" s="34">
        <v>1517402</v>
      </c>
      <c r="X367" s="4">
        <v>7100665</v>
      </c>
      <c r="Y367" s="8">
        <v>6882475</v>
      </c>
      <c r="Z367" s="143">
        <v>21849000</v>
      </c>
      <c r="AA367" s="4">
        <f>M367*6.5/100</f>
        <v>4260425</v>
      </c>
      <c r="AB367" s="8">
        <f t="shared" si="142"/>
        <v>2840305</v>
      </c>
      <c r="AC367" s="4">
        <f t="shared" si="138"/>
        <v>1420185</v>
      </c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</row>
    <row r="368" spans="1:61" s="37" customFormat="1" ht="27.6" customHeight="1" x14ac:dyDescent="0.2">
      <c r="A368" s="9">
        <v>357</v>
      </c>
      <c r="B368" s="58" t="s">
        <v>234</v>
      </c>
      <c r="C368" s="9" t="s">
        <v>221</v>
      </c>
      <c r="D368" s="71">
        <v>41098000</v>
      </c>
      <c r="E368" s="9">
        <v>7</v>
      </c>
      <c r="F368" s="9">
        <v>2</v>
      </c>
      <c r="G368" s="62" t="s">
        <v>178</v>
      </c>
      <c r="H368" s="54">
        <v>6.5</v>
      </c>
      <c r="I368" s="34"/>
      <c r="J368" s="34">
        <v>0</v>
      </c>
      <c r="K368" s="34">
        <v>41098000</v>
      </c>
      <c r="L368" s="8">
        <f t="shared" si="136"/>
        <v>41098000</v>
      </c>
      <c r="M368" s="8">
        <v>24658800</v>
      </c>
      <c r="N368" s="8">
        <f t="shared" si="137"/>
        <v>16439200</v>
      </c>
      <c r="O368" s="8"/>
      <c r="P368" s="61">
        <v>0</v>
      </c>
      <c r="Q368" s="8">
        <v>0</v>
      </c>
      <c r="R368" s="4">
        <v>8219600</v>
      </c>
      <c r="S368" s="143">
        <f t="shared" si="139"/>
        <v>8219600</v>
      </c>
      <c r="T368" s="4">
        <f t="shared" si="140"/>
        <v>8219600</v>
      </c>
      <c r="U368" s="4">
        <f t="shared" si="141"/>
        <v>8219600</v>
      </c>
      <c r="V368" s="34"/>
      <c r="W368" s="34">
        <v>570868</v>
      </c>
      <c r="X368" s="4">
        <v>2671370</v>
      </c>
      <c r="Y368" s="8">
        <v>2589283</v>
      </c>
      <c r="Z368" s="143">
        <f t="shared" ref="Z368:Z429" si="143">U368</f>
        <v>8219600</v>
      </c>
      <c r="AA368" s="4">
        <f t="shared" ref="AA368:AA408" si="144">M368*6.5/100</f>
        <v>1602822</v>
      </c>
      <c r="AB368" s="8">
        <f t="shared" si="142"/>
        <v>1068548</v>
      </c>
      <c r="AC368" s="4">
        <f t="shared" si="138"/>
        <v>534274</v>
      </c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</row>
    <row r="369" spans="1:61" s="37" customFormat="1" ht="27.6" customHeight="1" x14ac:dyDescent="0.2">
      <c r="A369" s="138">
        <v>358</v>
      </c>
      <c r="B369" s="58" t="s">
        <v>234</v>
      </c>
      <c r="C369" s="9" t="s">
        <v>221</v>
      </c>
      <c r="D369" s="71">
        <v>139145000</v>
      </c>
      <c r="E369" s="9">
        <v>7</v>
      </c>
      <c r="F369" s="9">
        <v>2</v>
      </c>
      <c r="G369" s="62" t="s">
        <v>178</v>
      </c>
      <c r="H369" s="54">
        <v>6.5</v>
      </c>
      <c r="I369" s="34"/>
      <c r="J369" s="34">
        <v>0</v>
      </c>
      <c r="K369" s="34">
        <v>139145000</v>
      </c>
      <c r="L369" s="8">
        <f t="shared" si="136"/>
        <v>139145000</v>
      </c>
      <c r="M369" s="8">
        <v>83487000</v>
      </c>
      <c r="N369" s="8">
        <f t="shared" si="137"/>
        <v>55658000</v>
      </c>
      <c r="O369" s="8"/>
      <c r="P369" s="61">
        <v>0</v>
      </c>
      <c r="Q369" s="8">
        <v>0</v>
      </c>
      <c r="R369" s="4">
        <v>27829000</v>
      </c>
      <c r="S369" s="143">
        <f t="shared" si="139"/>
        <v>27829000</v>
      </c>
      <c r="T369" s="4">
        <f t="shared" si="140"/>
        <v>27829000</v>
      </c>
      <c r="U369" s="4">
        <f t="shared" si="141"/>
        <v>27829000</v>
      </c>
      <c r="V369" s="34"/>
      <c r="W369" s="34">
        <v>1932781</v>
      </c>
      <c r="X369" s="4">
        <v>9044425</v>
      </c>
      <c r="Y369" s="8">
        <v>8766505</v>
      </c>
      <c r="Z369" s="143">
        <f t="shared" si="143"/>
        <v>27829000</v>
      </c>
      <c r="AA369" s="4">
        <f t="shared" si="144"/>
        <v>5426655</v>
      </c>
      <c r="AB369" s="8">
        <f t="shared" si="142"/>
        <v>3617770</v>
      </c>
      <c r="AC369" s="4">
        <f t="shared" si="138"/>
        <v>1808885</v>
      </c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</row>
    <row r="370" spans="1:61" s="37" customFormat="1" ht="27.6" customHeight="1" x14ac:dyDescent="0.2">
      <c r="A370" s="9">
        <v>359</v>
      </c>
      <c r="B370" s="58" t="s">
        <v>229</v>
      </c>
      <c r="C370" s="9" t="s">
        <v>221</v>
      </c>
      <c r="D370" s="71">
        <v>136865000</v>
      </c>
      <c r="E370" s="9"/>
      <c r="F370" s="9"/>
      <c r="G370" s="62"/>
      <c r="H370" s="54">
        <v>6.5</v>
      </c>
      <c r="I370" s="34"/>
      <c r="J370" s="34">
        <v>0</v>
      </c>
      <c r="K370" s="34">
        <f t="shared" ref="K370:K377" si="145">D370</f>
        <v>136865000</v>
      </c>
      <c r="L370" s="8">
        <f t="shared" si="136"/>
        <v>136865000</v>
      </c>
      <c r="M370" s="8">
        <v>82119000</v>
      </c>
      <c r="N370" s="8">
        <f t="shared" si="137"/>
        <v>54746000</v>
      </c>
      <c r="O370" s="8"/>
      <c r="P370" s="61">
        <v>0</v>
      </c>
      <c r="Q370" s="8">
        <v>0</v>
      </c>
      <c r="R370" s="4">
        <v>27373000</v>
      </c>
      <c r="S370" s="143">
        <f t="shared" si="139"/>
        <v>27373000</v>
      </c>
      <c r="T370" s="4">
        <f t="shared" si="140"/>
        <v>27373000</v>
      </c>
      <c r="U370" s="4">
        <f t="shared" si="141"/>
        <v>27373000</v>
      </c>
      <c r="V370" s="34"/>
      <c r="W370" s="34">
        <v>828689</v>
      </c>
      <c r="X370" s="4">
        <v>8896225</v>
      </c>
      <c r="Y370" s="8">
        <v>8914538</v>
      </c>
      <c r="Z370" s="143">
        <f t="shared" si="143"/>
        <v>27373000</v>
      </c>
      <c r="AA370" s="4">
        <f t="shared" si="144"/>
        <v>5337735</v>
      </c>
      <c r="AB370" s="8">
        <f t="shared" si="142"/>
        <v>3558490</v>
      </c>
      <c r="AC370" s="4">
        <f t="shared" si="138"/>
        <v>1779245</v>
      </c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</row>
    <row r="371" spans="1:61" s="37" customFormat="1" ht="27.6" customHeight="1" x14ac:dyDescent="0.2">
      <c r="A371" s="138">
        <v>360</v>
      </c>
      <c r="B371" s="58" t="s">
        <v>229</v>
      </c>
      <c r="C371" s="9" t="s">
        <v>221</v>
      </c>
      <c r="D371" s="71">
        <v>13282000</v>
      </c>
      <c r="E371" s="9"/>
      <c r="F371" s="9"/>
      <c r="G371" s="62"/>
      <c r="H371" s="54">
        <v>6.5</v>
      </c>
      <c r="I371" s="34"/>
      <c r="J371" s="34">
        <v>0</v>
      </c>
      <c r="K371" s="34">
        <f t="shared" si="145"/>
        <v>13282000</v>
      </c>
      <c r="L371" s="8">
        <f t="shared" si="136"/>
        <v>13282000</v>
      </c>
      <c r="M371" s="8">
        <v>7970000</v>
      </c>
      <c r="N371" s="8">
        <f t="shared" si="137"/>
        <v>5314000</v>
      </c>
      <c r="O371" s="8"/>
      <c r="P371" s="61">
        <v>0</v>
      </c>
      <c r="Q371" s="8">
        <v>0</v>
      </c>
      <c r="R371" s="4">
        <v>2656000</v>
      </c>
      <c r="S371" s="143">
        <f t="shared" si="139"/>
        <v>2658000</v>
      </c>
      <c r="T371" s="4">
        <f t="shared" si="140"/>
        <v>2656000</v>
      </c>
      <c r="U371" s="4">
        <f t="shared" si="141"/>
        <v>2656000</v>
      </c>
      <c r="V371" s="34"/>
      <c r="W371" s="34">
        <v>80420</v>
      </c>
      <c r="X371" s="4">
        <v>863330</v>
      </c>
      <c r="Y371" s="8">
        <v>865107</v>
      </c>
      <c r="Z371" s="143">
        <v>2658000</v>
      </c>
      <c r="AA371" s="4">
        <f t="shared" si="144"/>
        <v>518050</v>
      </c>
      <c r="AB371" s="8">
        <f t="shared" si="142"/>
        <v>345410</v>
      </c>
      <c r="AC371" s="4">
        <f t="shared" si="138"/>
        <v>172770</v>
      </c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</row>
    <row r="372" spans="1:61" s="37" customFormat="1" ht="27.6" customHeight="1" x14ac:dyDescent="0.2">
      <c r="A372" s="9">
        <v>361</v>
      </c>
      <c r="B372" s="58" t="s">
        <v>232</v>
      </c>
      <c r="C372" s="9" t="s">
        <v>221</v>
      </c>
      <c r="D372" s="71">
        <v>51540000</v>
      </c>
      <c r="E372" s="9"/>
      <c r="F372" s="9"/>
      <c r="G372" s="62"/>
      <c r="H372" s="54">
        <v>6.5</v>
      </c>
      <c r="I372" s="34"/>
      <c r="J372" s="34">
        <v>0</v>
      </c>
      <c r="K372" s="34">
        <f t="shared" si="145"/>
        <v>51540000</v>
      </c>
      <c r="L372" s="8">
        <f t="shared" si="136"/>
        <v>51540000</v>
      </c>
      <c r="M372" s="8">
        <v>30924000</v>
      </c>
      <c r="N372" s="8">
        <f t="shared" si="137"/>
        <v>20616000</v>
      </c>
      <c r="O372" s="8"/>
      <c r="P372" s="61">
        <v>0</v>
      </c>
      <c r="Q372" s="8">
        <v>0</v>
      </c>
      <c r="R372" s="4">
        <v>10308000</v>
      </c>
      <c r="S372" s="143">
        <f t="shared" si="139"/>
        <v>10308000</v>
      </c>
      <c r="T372" s="4">
        <f t="shared" si="140"/>
        <v>10308000</v>
      </c>
      <c r="U372" s="4">
        <f t="shared" si="141"/>
        <v>10308000</v>
      </c>
      <c r="V372" s="34"/>
      <c r="W372" s="34">
        <v>137675</v>
      </c>
      <c r="X372" s="4">
        <v>3350100</v>
      </c>
      <c r="Y372" s="8">
        <v>3356996</v>
      </c>
      <c r="Z372" s="143">
        <f t="shared" si="143"/>
        <v>10308000</v>
      </c>
      <c r="AA372" s="4">
        <f t="shared" si="144"/>
        <v>2010060</v>
      </c>
      <c r="AB372" s="8">
        <f t="shared" si="142"/>
        <v>1340040</v>
      </c>
      <c r="AC372" s="4">
        <f t="shared" si="138"/>
        <v>670020</v>
      </c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</row>
    <row r="373" spans="1:61" s="37" customFormat="1" ht="27.6" customHeight="1" x14ac:dyDescent="0.2">
      <c r="A373" s="138">
        <v>362</v>
      </c>
      <c r="B373" s="58" t="s">
        <v>232</v>
      </c>
      <c r="C373" s="9" t="s">
        <v>221</v>
      </c>
      <c r="D373" s="71">
        <v>531250000</v>
      </c>
      <c r="E373" s="9"/>
      <c r="F373" s="9"/>
      <c r="G373" s="62"/>
      <c r="H373" s="54">
        <v>6.5</v>
      </c>
      <c r="I373" s="34"/>
      <c r="J373" s="34">
        <v>0</v>
      </c>
      <c r="K373" s="34">
        <f t="shared" si="145"/>
        <v>531250000</v>
      </c>
      <c r="L373" s="8">
        <f t="shared" si="136"/>
        <v>531250000</v>
      </c>
      <c r="M373" s="8">
        <v>318750000</v>
      </c>
      <c r="N373" s="8">
        <f t="shared" si="137"/>
        <v>212500000</v>
      </c>
      <c r="O373" s="8"/>
      <c r="P373" s="61">
        <v>0</v>
      </c>
      <c r="Q373" s="8">
        <v>0</v>
      </c>
      <c r="R373" s="4">
        <v>106250000</v>
      </c>
      <c r="S373" s="143">
        <f t="shared" si="139"/>
        <v>106250000</v>
      </c>
      <c r="T373" s="4">
        <f t="shared" si="140"/>
        <v>106250000</v>
      </c>
      <c r="U373" s="4">
        <f t="shared" si="141"/>
        <v>106250000</v>
      </c>
      <c r="V373" s="34"/>
      <c r="W373" s="34">
        <v>1419092</v>
      </c>
      <c r="X373" s="4">
        <v>34531250</v>
      </c>
      <c r="Y373" s="8">
        <v>34602334</v>
      </c>
      <c r="Z373" s="143">
        <f t="shared" si="143"/>
        <v>106250000</v>
      </c>
      <c r="AA373" s="4">
        <f t="shared" si="144"/>
        <v>20718750</v>
      </c>
      <c r="AB373" s="8">
        <f t="shared" si="142"/>
        <v>13812500</v>
      </c>
      <c r="AC373" s="4">
        <f t="shared" si="138"/>
        <v>6906250</v>
      </c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</row>
    <row r="374" spans="1:61" s="37" customFormat="1" ht="27.6" customHeight="1" x14ac:dyDescent="0.2">
      <c r="A374" s="9">
        <v>363</v>
      </c>
      <c r="B374" s="58" t="s">
        <v>235</v>
      </c>
      <c r="C374" s="9" t="s">
        <v>221</v>
      </c>
      <c r="D374" s="71">
        <v>10400000</v>
      </c>
      <c r="E374" s="9"/>
      <c r="F374" s="9"/>
      <c r="G374" s="62"/>
      <c r="H374" s="54">
        <v>6.5</v>
      </c>
      <c r="I374" s="34"/>
      <c r="J374" s="34">
        <v>0</v>
      </c>
      <c r="K374" s="34">
        <f t="shared" si="145"/>
        <v>10400000</v>
      </c>
      <c r="L374" s="8">
        <f t="shared" si="136"/>
        <v>10400000</v>
      </c>
      <c r="M374" s="8">
        <v>6240000</v>
      </c>
      <c r="N374" s="8">
        <f t="shared" si="137"/>
        <v>4160000</v>
      </c>
      <c r="O374" s="8"/>
      <c r="P374" s="61">
        <v>0</v>
      </c>
      <c r="Q374" s="8">
        <v>0</v>
      </c>
      <c r="R374" s="4">
        <v>2080000</v>
      </c>
      <c r="S374" s="143">
        <f t="shared" si="139"/>
        <v>2080000</v>
      </c>
      <c r="T374" s="4">
        <f t="shared" si="140"/>
        <v>2080000</v>
      </c>
      <c r="U374" s="4">
        <f t="shared" si="141"/>
        <v>2080000</v>
      </c>
      <c r="V374" s="34"/>
      <c r="W374" s="34">
        <v>22225</v>
      </c>
      <c r="X374" s="4">
        <v>676000</v>
      </c>
      <c r="Y374" s="8">
        <v>677392</v>
      </c>
      <c r="Z374" s="143">
        <f t="shared" si="143"/>
        <v>2080000</v>
      </c>
      <c r="AA374" s="4">
        <f t="shared" si="144"/>
        <v>405600</v>
      </c>
      <c r="AB374" s="8">
        <f t="shared" si="142"/>
        <v>270400</v>
      </c>
      <c r="AC374" s="4">
        <f t="shared" si="138"/>
        <v>135200</v>
      </c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</row>
    <row r="375" spans="1:61" s="37" customFormat="1" ht="27.6" customHeight="1" x14ac:dyDescent="0.2">
      <c r="A375" s="138">
        <v>364</v>
      </c>
      <c r="B375" s="58" t="s">
        <v>235</v>
      </c>
      <c r="C375" s="9" t="s">
        <v>221</v>
      </c>
      <c r="D375" s="71">
        <v>8781000</v>
      </c>
      <c r="E375" s="9"/>
      <c r="F375" s="9"/>
      <c r="G375" s="62"/>
      <c r="H375" s="54">
        <v>6.5</v>
      </c>
      <c r="I375" s="34"/>
      <c r="J375" s="34">
        <v>0</v>
      </c>
      <c r="K375" s="34">
        <f t="shared" si="145"/>
        <v>8781000</v>
      </c>
      <c r="L375" s="8">
        <f t="shared" si="136"/>
        <v>8781000</v>
      </c>
      <c r="M375" s="8">
        <v>5268600</v>
      </c>
      <c r="N375" s="8">
        <f t="shared" si="137"/>
        <v>3512400</v>
      </c>
      <c r="O375" s="8"/>
      <c r="P375" s="61">
        <v>0</v>
      </c>
      <c r="Q375" s="8">
        <v>0</v>
      </c>
      <c r="R375" s="4">
        <v>1756200</v>
      </c>
      <c r="S375" s="143">
        <f t="shared" si="139"/>
        <v>1756200</v>
      </c>
      <c r="T375" s="4">
        <f t="shared" si="140"/>
        <v>1756200</v>
      </c>
      <c r="U375" s="4">
        <f t="shared" si="141"/>
        <v>1756200</v>
      </c>
      <c r="V375" s="34"/>
      <c r="W375" s="34">
        <v>18765</v>
      </c>
      <c r="X375" s="4">
        <v>570765</v>
      </c>
      <c r="Y375" s="8">
        <v>571940</v>
      </c>
      <c r="Z375" s="143">
        <f t="shared" si="143"/>
        <v>1756200</v>
      </c>
      <c r="AA375" s="4">
        <f t="shared" si="144"/>
        <v>342459</v>
      </c>
      <c r="AB375" s="8">
        <f t="shared" si="142"/>
        <v>228306</v>
      </c>
      <c r="AC375" s="4">
        <f t="shared" si="138"/>
        <v>114153</v>
      </c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</row>
    <row r="376" spans="1:61" s="37" customFormat="1" ht="27.6" customHeight="1" x14ac:dyDescent="0.2">
      <c r="A376" s="9">
        <v>365</v>
      </c>
      <c r="B376" s="58" t="s">
        <v>228</v>
      </c>
      <c r="C376" s="9" t="s">
        <v>221</v>
      </c>
      <c r="D376" s="71">
        <v>720000</v>
      </c>
      <c r="E376" s="9"/>
      <c r="F376" s="9"/>
      <c r="G376" s="62"/>
      <c r="H376" s="54">
        <v>6.5</v>
      </c>
      <c r="I376" s="34"/>
      <c r="J376" s="34">
        <v>0</v>
      </c>
      <c r="K376" s="34">
        <f t="shared" si="145"/>
        <v>720000</v>
      </c>
      <c r="L376" s="8">
        <f t="shared" si="136"/>
        <v>720000</v>
      </c>
      <c r="M376" s="8">
        <v>432000</v>
      </c>
      <c r="N376" s="8">
        <f t="shared" si="137"/>
        <v>288000</v>
      </c>
      <c r="O376" s="8"/>
      <c r="P376" s="61">
        <v>0</v>
      </c>
      <c r="Q376" s="8">
        <v>0</v>
      </c>
      <c r="R376" s="4">
        <v>144000</v>
      </c>
      <c r="S376" s="143">
        <f t="shared" si="139"/>
        <v>144000</v>
      </c>
      <c r="T376" s="4">
        <f t="shared" si="140"/>
        <v>144000</v>
      </c>
      <c r="U376" s="4">
        <f t="shared" si="141"/>
        <v>144000</v>
      </c>
      <c r="V376" s="34"/>
      <c r="W376" s="34">
        <v>769</v>
      </c>
      <c r="X376" s="4">
        <v>46800</v>
      </c>
      <c r="Y376" s="8">
        <v>46896</v>
      </c>
      <c r="Z376" s="143">
        <f t="shared" si="143"/>
        <v>144000</v>
      </c>
      <c r="AA376" s="4">
        <f t="shared" si="144"/>
        <v>28080</v>
      </c>
      <c r="AB376" s="8">
        <f t="shared" si="142"/>
        <v>18720</v>
      </c>
      <c r="AC376" s="4">
        <f t="shared" si="138"/>
        <v>9360</v>
      </c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</row>
    <row r="377" spans="1:61" s="37" customFormat="1" ht="27.6" customHeight="1" x14ac:dyDescent="0.2">
      <c r="A377" s="138">
        <v>366</v>
      </c>
      <c r="B377" s="58" t="s">
        <v>227</v>
      </c>
      <c r="C377" s="9" t="s">
        <v>221</v>
      </c>
      <c r="D377" s="71">
        <v>5834000</v>
      </c>
      <c r="E377" s="9"/>
      <c r="F377" s="9"/>
      <c r="G377" s="62"/>
      <c r="H377" s="54">
        <v>6.5</v>
      </c>
      <c r="I377" s="34"/>
      <c r="J377" s="34">
        <v>0</v>
      </c>
      <c r="K377" s="34">
        <f t="shared" si="145"/>
        <v>5834000</v>
      </c>
      <c r="L377" s="8">
        <f t="shared" si="136"/>
        <v>5834000</v>
      </c>
      <c r="M377" s="8">
        <v>3500400</v>
      </c>
      <c r="N377" s="8">
        <f t="shared" si="137"/>
        <v>2333600</v>
      </c>
      <c r="O377" s="8"/>
      <c r="P377" s="61">
        <v>0</v>
      </c>
      <c r="Q377" s="8">
        <v>0</v>
      </c>
      <c r="R377" s="4">
        <v>1166800</v>
      </c>
      <c r="S377" s="143">
        <f t="shared" si="139"/>
        <v>1166800</v>
      </c>
      <c r="T377" s="4">
        <f t="shared" si="140"/>
        <v>1166800</v>
      </c>
      <c r="U377" s="4">
        <f t="shared" si="141"/>
        <v>1166800</v>
      </c>
      <c r="V377" s="34"/>
      <c r="W377" s="34">
        <v>2078</v>
      </c>
      <c r="X377" s="4">
        <v>379210</v>
      </c>
      <c r="Y377" s="8">
        <v>379991</v>
      </c>
      <c r="Z377" s="143">
        <f t="shared" si="143"/>
        <v>1166800</v>
      </c>
      <c r="AA377" s="4">
        <f t="shared" si="144"/>
        <v>227526</v>
      </c>
      <c r="AB377" s="8">
        <f t="shared" si="142"/>
        <v>151684</v>
      </c>
      <c r="AC377" s="4">
        <f t="shared" si="138"/>
        <v>75842</v>
      </c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</row>
    <row r="378" spans="1:61" s="37" customFormat="1" ht="27.6" customHeight="1" x14ac:dyDescent="0.2">
      <c r="A378" s="9">
        <v>367</v>
      </c>
      <c r="B378" s="58" t="s">
        <v>334</v>
      </c>
      <c r="C378" s="9" t="s">
        <v>221</v>
      </c>
      <c r="D378" s="71">
        <v>2580000</v>
      </c>
      <c r="E378" s="9"/>
      <c r="F378" s="9"/>
      <c r="G378" s="62"/>
      <c r="H378" s="54">
        <v>6.5</v>
      </c>
      <c r="I378" s="34"/>
      <c r="J378" s="34"/>
      <c r="K378" s="34">
        <v>2580000</v>
      </c>
      <c r="L378" s="8">
        <f t="shared" ref="L378:L409" si="146">D378</f>
        <v>2580000</v>
      </c>
      <c r="M378" s="8">
        <v>2064000</v>
      </c>
      <c r="N378" s="8">
        <f t="shared" si="137"/>
        <v>1548000</v>
      </c>
      <c r="O378" s="8"/>
      <c r="P378" s="61"/>
      <c r="Q378" s="8">
        <v>0</v>
      </c>
      <c r="R378" s="4">
        <v>0</v>
      </c>
      <c r="S378" s="143">
        <f t="shared" si="139"/>
        <v>1032000</v>
      </c>
      <c r="T378" s="4">
        <f>D378/5</f>
        <v>516000</v>
      </c>
      <c r="U378" s="4">
        <f t="shared" si="141"/>
        <v>516000</v>
      </c>
      <c r="V378" s="34"/>
      <c r="W378" s="34"/>
      <c r="X378" s="4">
        <v>167700</v>
      </c>
      <c r="Y378" s="8">
        <v>167700</v>
      </c>
      <c r="Z378" s="143">
        <f t="shared" si="143"/>
        <v>516000</v>
      </c>
      <c r="AA378" s="4">
        <f t="shared" si="144"/>
        <v>134160</v>
      </c>
      <c r="AB378" s="8">
        <f t="shared" si="142"/>
        <v>100620</v>
      </c>
      <c r="AC378" s="4">
        <f t="shared" si="138"/>
        <v>67080</v>
      </c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</row>
    <row r="379" spans="1:61" s="37" customFormat="1" ht="27.6" customHeight="1" x14ac:dyDescent="0.2">
      <c r="A379" s="138">
        <v>368</v>
      </c>
      <c r="B379" s="58" t="s">
        <v>335</v>
      </c>
      <c r="C379" s="9" t="s">
        <v>221</v>
      </c>
      <c r="D379" s="71">
        <v>135000000</v>
      </c>
      <c r="E379" s="9"/>
      <c r="F379" s="9"/>
      <c r="G379" s="62"/>
      <c r="H379" s="54">
        <v>6.5</v>
      </c>
      <c r="I379" s="34"/>
      <c r="J379" s="34"/>
      <c r="K379" s="34">
        <v>135000000</v>
      </c>
      <c r="L379" s="8">
        <f t="shared" si="146"/>
        <v>135000000</v>
      </c>
      <c r="M379" s="8">
        <v>108000000</v>
      </c>
      <c r="N379" s="8">
        <f t="shared" si="137"/>
        <v>81000000</v>
      </c>
      <c r="O379" s="8"/>
      <c r="P379" s="61"/>
      <c r="Q379" s="8">
        <v>0</v>
      </c>
      <c r="R379" s="4">
        <v>0</v>
      </c>
      <c r="S379" s="143">
        <f t="shared" si="139"/>
        <v>54000000</v>
      </c>
      <c r="T379" s="4">
        <f t="shared" ref="T379:T408" si="147">D379/5</f>
        <v>27000000</v>
      </c>
      <c r="U379" s="4">
        <f t="shared" si="141"/>
        <v>27000000</v>
      </c>
      <c r="V379" s="34"/>
      <c r="W379" s="34"/>
      <c r="X379" s="4">
        <v>8775000</v>
      </c>
      <c r="Y379" s="8">
        <v>8775000</v>
      </c>
      <c r="Z379" s="143">
        <f t="shared" si="143"/>
        <v>27000000</v>
      </c>
      <c r="AA379" s="4">
        <f t="shared" si="144"/>
        <v>7020000</v>
      </c>
      <c r="AB379" s="8">
        <f t="shared" si="142"/>
        <v>5265000</v>
      </c>
      <c r="AC379" s="4">
        <f t="shared" si="138"/>
        <v>3510000</v>
      </c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</row>
    <row r="380" spans="1:61" s="37" customFormat="1" ht="27.6" customHeight="1" x14ac:dyDescent="0.2">
      <c r="A380" s="9">
        <v>369</v>
      </c>
      <c r="B380" s="58" t="s">
        <v>335</v>
      </c>
      <c r="C380" s="9" t="s">
        <v>221</v>
      </c>
      <c r="D380" s="71">
        <v>20564000</v>
      </c>
      <c r="E380" s="9"/>
      <c r="F380" s="9"/>
      <c r="G380" s="62"/>
      <c r="H380" s="54">
        <v>6.5</v>
      </c>
      <c r="I380" s="34"/>
      <c r="J380" s="34"/>
      <c r="K380" s="34">
        <v>20564000</v>
      </c>
      <c r="L380" s="8">
        <f t="shared" si="146"/>
        <v>20564000</v>
      </c>
      <c r="M380" s="8">
        <v>16451200</v>
      </c>
      <c r="N380" s="8">
        <f t="shared" si="137"/>
        <v>12338400</v>
      </c>
      <c r="O380" s="8"/>
      <c r="P380" s="61"/>
      <c r="Q380" s="8">
        <v>0</v>
      </c>
      <c r="R380" s="4">
        <v>0</v>
      </c>
      <c r="S380" s="143">
        <f t="shared" si="139"/>
        <v>8225600</v>
      </c>
      <c r="T380" s="4">
        <f t="shared" si="147"/>
        <v>4112800</v>
      </c>
      <c r="U380" s="4">
        <f t="shared" si="141"/>
        <v>4112800</v>
      </c>
      <c r="V380" s="34"/>
      <c r="W380" s="34"/>
      <c r="X380" s="4">
        <v>1336660</v>
      </c>
      <c r="Y380" s="8">
        <v>1336660</v>
      </c>
      <c r="Z380" s="143">
        <f t="shared" si="143"/>
        <v>4112800</v>
      </c>
      <c r="AA380" s="4">
        <f t="shared" si="144"/>
        <v>1069328</v>
      </c>
      <c r="AB380" s="8">
        <f t="shared" si="142"/>
        <v>801996</v>
      </c>
      <c r="AC380" s="4">
        <f t="shared" si="138"/>
        <v>534664</v>
      </c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</row>
    <row r="381" spans="1:61" s="37" customFormat="1" ht="27.6" customHeight="1" x14ac:dyDescent="0.2">
      <c r="A381" s="138">
        <v>370</v>
      </c>
      <c r="B381" s="58" t="s">
        <v>330</v>
      </c>
      <c r="C381" s="9" t="s">
        <v>221</v>
      </c>
      <c r="D381" s="71">
        <v>6250000</v>
      </c>
      <c r="E381" s="9"/>
      <c r="F381" s="9"/>
      <c r="G381" s="62"/>
      <c r="H381" s="54">
        <v>6.5</v>
      </c>
      <c r="I381" s="34"/>
      <c r="J381" s="34"/>
      <c r="K381" s="34">
        <v>6250000</v>
      </c>
      <c r="L381" s="8">
        <f t="shared" si="146"/>
        <v>6250000</v>
      </c>
      <c r="M381" s="8">
        <v>5000000</v>
      </c>
      <c r="N381" s="8">
        <f t="shared" si="137"/>
        <v>3750000</v>
      </c>
      <c r="O381" s="8"/>
      <c r="P381" s="61"/>
      <c r="Q381" s="8">
        <v>0</v>
      </c>
      <c r="R381" s="4">
        <v>0</v>
      </c>
      <c r="S381" s="143">
        <f t="shared" si="139"/>
        <v>2500000</v>
      </c>
      <c r="T381" s="4">
        <f t="shared" si="147"/>
        <v>1250000</v>
      </c>
      <c r="U381" s="4">
        <f t="shared" si="141"/>
        <v>1250000</v>
      </c>
      <c r="V381" s="34"/>
      <c r="W381" s="34"/>
      <c r="X381" s="4">
        <v>406250</v>
      </c>
      <c r="Y381" s="8">
        <v>406250</v>
      </c>
      <c r="Z381" s="143">
        <f t="shared" si="143"/>
        <v>1250000</v>
      </c>
      <c r="AA381" s="4">
        <f t="shared" si="144"/>
        <v>325000</v>
      </c>
      <c r="AB381" s="8">
        <f t="shared" si="142"/>
        <v>243750</v>
      </c>
      <c r="AC381" s="4">
        <f t="shared" si="138"/>
        <v>162500</v>
      </c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</row>
    <row r="382" spans="1:61" s="37" customFormat="1" ht="27.6" customHeight="1" x14ac:dyDescent="0.2">
      <c r="A382" s="9">
        <v>371</v>
      </c>
      <c r="B382" s="58" t="s">
        <v>330</v>
      </c>
      <c r="C382" s="9" t="s">
        <v>221</v>
      </c>
      <c r="D382" s="71">
        <v>38584000</v>
      </c>
      <c r="E382" s="9"/>
      <c r="F382" s="9"/>
      <c r="G382" s="62"/>
      <c r="H382" s="54">
        <v>6.5</v>
      </c>
      <c r="I382" s="34"/>
      <c r="J382" s="34"/>
      <c r="K382" s="34">
        <v>38584000</v>
      </c>
      <c r="L382" s="8">
        <f t="shared" si="146"/>
        <v>38584000</v>
      </c>
      <c r="M382" s="8">
        <v>30867200</v>
      </c>
      <c r="N382" s="8">
        <f t="shared" si="137"/>
        <v>23150400</v>
      </c>
      <c r="O382" s="8"/>
      <c r="P382" s="61"/>
      <c r="Q382" s="8">
        <v>0</v>
      </c>
      <c r="R382" s="4">
        <v>0</v>
      </c>
      <c r="S382" s="143">
        <f t="shared" si="139"/>
        <v>15433600</v>
      </c>
      <c r="T382" s="4">
        <f t="shared" si="147"/>
        <v>7716800</v>
      </c>
      <c r="U382" s="4">
        <f t="shared" si="141"/>
        <v>7716800</v>
      </c>
      <c r="V382" s="34"/>
      <c r="W382" s="34"/>
      <c r="X382" s="4">
        <v>2507960</v>
      </c>
      <c r="Y382" s="8">
        <v>2507960</v>
      </c>
      <c r="Z382" s="143">
        <f t="shared" si="143"/>
        <v>7716800</v>
      </c>
      <c r="AA382" s="4">
        <f t="shared" si="144"/>
        <v>2006368</v>
      </c>
      <c r="AB382" s="8">
        <f t="shared" si="142"/>
        <v>1504776</v>
      </c>
      <c r="AC382" s="4">
        <f t="shared" si="138"/>
        <v>1003184</v>
      </c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</row>
    <row r="383" spans="1:61" s="37" customFormat="1" ht="27.6" customHeight="1" x14ac:dyDescent="0.2">
      <c r="A383" s="138">
        <v>372</v>
      </c>
      <c r="B383" s="58" t="s">
        <v>330</v>
      </c>
      <c r="C383" s="9" t="s">
        <v>221</v>
      </c>
      <c r="D383" s="71">
        <v>22531000</v>
      </c>
      <c r="E383" s="9"/>
      <c r="F383" s="9"/>
      <c r="G383" s="62"/>
      <c r="H383" s="54">
        <v>6.5</v>
      </c>
      <c r="I383" s="34"/>
      <c r="J383" s="34"/>
      <c r="K383" s="34">
        <v>22531000</v>
      </c>
      <c r="L383" s="8">
        <f t="shared" si="146"/>
        <v>22531000</v>
      </c>
      <c r="M383" s="8">
        <v>18024800</v>
      </c>
      <c r="N383" s="8">
        <f t="shared" si="137"/>
        <v>13518600</v>
      </c>
      <c r="O383" s="8"/>
      <c r="P383" s="61"/>
      <c r="Q383" s="8">
        <v>0</v>
      </c>
      <c r="R383" s="4">
        <v>0</v>
      </c>
      <c r="S383" s="143">
        <f t="shared" si="139"/>
        <v>9012400</v>
      </c>
      <c r="T383" s="4">
        <f t="shared" si="147"/>
        <v>4506200</v>
      </c>
      <c r="U383" s="4">
        <f t="shared" si="141"/>
        <v>4506200</v>
      </c>
      <c r="V383" s="34"/>
      <c r="W383" s="34"/>
      <c r="X383" s="4">
        <v>1464515</v>
      </c>
      <c r="Y383" s="8">
        <v>1464515</v>
      </c>
      <c r="Z383" s="143">
        <f t="shared" si="143"/>
        <v>4506200</v>
      </c>
      <c r="AA383" s="4">
        <f t="shared" si="144"/>
        <v>1171612</v>
      </c>
      <c r="AB383" s="8">
        <f t="shared" si="142"/>
        <v>878709</v>
      </c>
      <c r="AC383" s="4">
        <f t="shared" si="138"/>
        <v>585806</v>
      </c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</row>
    <row r="384" spans="1:61" s="37" customFormat="1" ht="27.6" customHeight="1" x14ac:dyDescent="0.2">
      <c r="A384" s="9">
        <v>373</v>
      </c>
      <c r="B384" s="58" t="s">
        <v>331</v>
      </c>
      <c r="C384" s="9" t="s">
        <v>221</v>
      </c>
      <c r="D384" s="71">
        <v>73221000</v>
      </c>
      <c r="E384" s="9"/>
      <c r="F384" s="9"/>
      <c r="G384" s="62"/>
      <c r="H384" s="54">
        <v>6.5</v>
      </c>
      <c r="I384" s="34"/>
      <c r="J384" s="34"/>
      <c r="K384" s="34">
        <v>73221000</v>
      </c>
      <c r="L384" s="8">
        <f t="shared" si="146"/>
        <v>73221000</v>
      </c>
      <c r="M384" s="8">
        <v>58576800</v>
      </c>
      <c r="N384" s="8">
        <f t="shared" si="137"/>
        <v>43932600</v>
      </c>
      <c r="O384" s="8"/>
      <c r="P384" s="61"/>
      <c r="Q384" s="8">
        <v>0</v>
      </c>
      <c r="R384" s="4">
        <v>0</v>
      </c>
      <c r="S384" s="143">
        <f t="shared" si="139"/>
        <v>29288400</v>
      </c>
      <c r="T384" s="4">
        <f t="shared" si="147"/>
        <v>14644200</v>
      </c>
      <c r="U384" s="4">
        <f t="shared" si="141"/>
        <v>14644200</v>
      </c>
      <c r="V384" s="34"/>
      <c r="W384" s="34"/>
      <c r="X384" s="4">
        <v>4759365</v>
      </c>
      <c r="Y384" s="8">
        <v>4759365</v>
      </c>
      <c r="Z384" s="143">
        <f t="shared" si="143"/>
        <v>14644200</v>
      </c>
      <c r="AA384" s="4">
        <f t="shared" si="144"/>
        <v>3807492</v>
      </c>
      <c r="AB384" s="8">
        <f t="shared" si="142"/>
        <v>2855619</v>
      </c>
      <c r="AC384" s="4">
        <f t="shared" si="138"/>
        <v>1903746</v>
      </c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</row>
    <row r="385" spans="1:61" s="37" customFormat="1" ht="27.6" customHeight="1" x14ac:dyDescent="0.2">
      <c r="A385" s="138">
        <v>374</v>
      </c>
      <c r="B385" s="58" t="s">
        <v>331</v>
      </c>
      <c r="C385" s="9" t="s">
        <v>221</v>
      </c>
      <c r="D385" s="71">
        <v>29343000</v>
      </c>
      <c r="E385" s="9"/>
      <c r="F385" s="9"/>
      <c r="G385" s="62"/>
      <c r="H385" s="54">
        <v>6.5</v>
      </c>
      <c r="I385" s="34"/>
      <c r="J385" s="34"/>
      <c r="K385" s="34">
        <v>29343000</v>
      </c>
      <c r="L385" s="8">
        <f t="shared" si="146"/>
        <v>29343000</v>
      </c>
      <c r="M385" s="8">
        <v>23474400</v>
      </c>
      <c r="N385" s="8">
        <f t="shared" si="137"/>
        <v>17605800</v>
      </c>
      <c r="O385" s="8"/>
      <c r="P385" s="61"/>
      <c r="Q385" s="8">
        <v>0</v>
      </c>
      <c r="R385" s="4">
        <v>0</v>
      </c>
      <c r="S385" s="143">
        <f t="shared" si="139"/>
        <v>11737200</v>
      </c>
      <c r="T385" s="4">
        <f t="shared" si="147"/>
        <v>5868600</v>
      </c>
      <c r="U385" s="4">
        <f t="shared" si="141"/>
        <v>5868600</v>
      </c>
      <c r="V385" s="34"/>
      <c r="W385" s="34"/>
      <c r="X385" s="4">
        <v>1907295</v>
      </c>
      <c r="Y385" s="8">
        <v>1907295</v>
      </c>
      <c r="Z385" s="143">
        <f t="shared" si="143"/>
        <v>5868600</v>
      </c>
      <c r="AA385" s="4">
        <f t="shared" si="144"/>
        <v>1525836</v>
      </c>
      <c r="AB385" s="8">
        <f t="shared" si="142"/>
        <v>1144377</v>
      </c>
      <c r="AC385" s="4">
        <f t="shared" si="138"/>
        <v>762918</v>
      </c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</row>
    <row r="386" spans="1:61" s="37" customFormat="1" ht="27.6" customHeight="1" x14ac:dyDescent="0.2">
      <c r="A386" s="9">
        <v>375</v>
      </c>
      <c r="B386" s="58" t="s">
        <v>331</v>
      </c>
      <c r="C386" s="9" t="s">
        <v>221</v>
      </c>
      <c r="D386" s="71">
        <v>244800000</v>
      </c>
      <c r="E386" s="9"/>
      <c r="F386" s="9"/>
      <c r="G386" s="62"/>
      <c r="H386" s="54">
        <v>6.5</v>
      </c>
      <c r="I386" s="34"/>
      <c r="J386" s="34"/>
      <c r="K386" s="34">
        <v>244800000</v>
      </c>
      <c r="L386" s="8">
        <f t="shared" si="146"/>
        <v>244800000</v>
      </c>
      <c r="M386" s="8">
        <v>195840000</v>
      </c>
      <c r="N386" s="8">
        <f t="shared" si="137"/>
        <v>146880000</v>
      </c>
      <c r="O386" s="8"/>
      <c r="P386" s="61"/>
      <c r="Q386" s="8">
        <v>0</v>
      </c>
      <c r="R386" s="4">
        <v>0</v>
      </c>
      <c r="S386" s="143">
        <f t="shared" si="139"/>
        <v>97920000</v>
      </c>
      <c r="T386" s="4">
        <f t="shared" si="147"/>
        <v>48960000</v>
      </c>
      <c r="U386" s="4">
        <f t="shared" si="141"/>
        <v>48960000</v>
      </c>
      <c r="V386" s="34"/>
      <c r="W386" s="34"/>
      <c r="X386" s="4">
        <v>15912000</v>
      </c>
      <c r="Y386" s="8">
        <v>15912000</v>
      </c>
      <c r="Z386" s="143">
        <f t="shared" si="143"/>
        <v>48960000</v>
      </c>
      <c r="AA386" s="4">
        <f t="shared" si="144"/>
        <v>12729600</v>
      </c>
      <c r="AB386" s="8">
        <f t="shared" si="142"/>
        <v>9547200</v>
      </c>
      <c r="AC386" s="4">
        <f t="shared" si="138"/>
        <v>6364800</v>
      </c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</row>
    <row r="387" spans="1:61" s="37" customFormat="1" ht="27.6" customHeight="1" x14ac:dyDescent="0.2">
      <c r="A387" s="138">
        <v>376</v>
      </c>
      <c r="B387" s="58" t="s">
        <v>331</v>
      </c>
      <c r="C387" s="9" t="s">
        <v>221</v>
      </c>
      <c r="D387" s="71">
        <v>28210000</v>
      </c>
      <c r="E387" s="9"/>
      <c r="F387" s="9"/>
      <c r="G387" s="62"/>
      <c r="H387" s="54">
        <v>6.5</v>
      </c>
      <c r="I387" s="34"/>
      <c r="J387" s="34"/>
      <c r="K387" s="34">
        <v>28210000</v>
      </c>
      <c r="L387" s="8">
        <f t="shared" si="146"/>
        <v>28210000</v>
      </c>
      <c r="M387" s="8">
        <v>22568000</v>
      </c>
      <c r="N387" s="8">
        <f t="shared" si="137"/>
        <v>16926000</v>
      </c>
      <c r="O387" s="8"/>
      <c r="P387" s="61"/>
      <c r="Q387" s="8">
        <v>0</v>
      </c>
      <c r="R387" s="4">
        <v>0</v>
      </c>
      <c r="S387" s="143">
        <f t="shared" si="139"/>
        <v>11284000</v>
      </c>
      <c r="T387" s="4">
        <f t="shared" si="147"/>
        <v>5642000</v>
      </c>
      <c r="U387" s="4">
        <f t="shared" si="141"/>
        <v>5642000</v>
      </c>
      <c r="V387" s="34"/>
      <c r="W387" s="34"/>
      <c r="X387" s="4">
        <v>1833650</v>
      </c>
      <c r="Y387" s="8">
        <v>1833650</v>
      </c>
      <c r="Z387" s="143">
        <f t="shared" si="143"/>
        <v>5642000</v>
      </c>
      <c r="AA387" s="4">
        <f t="shared" si="144"/>
        <v>1466920</v>
      </c>
      <c r="AB387" s="8">
        <f t="shared" si="142"/>
        <v>1100190</v>
      </c>
      <c r="AC387" s="4">
        <f t="shared" si="138"/>
        <v>733460</v>
      </c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</row>
    <row r="388" spans="1:61" s="37" customFormat="1" ht="27.6" customHeight="1" x14ac:dyDescent="0.2">
      <c r="A388" s="9">
        <v>377</v>
      </c>
      <c r="B388" s="58" t="s">
        <v>331</v>
      </c>
      <c r="C388" s="9" t="s">
        <v>221</v>
      </c>
      <c r="D388" s="71">
        <v>18159000</v>
      </c>
      <c r="E388" s="9"/>
      <c r="F388" s="9"/>
      <c r="G388" s="62"/>
      <c r="H388" s="54">
        <v>6.5</v>
      </c>
      <c r="I388" s="34"/>
      <c r="J388" s="34"/>
      <c r="K388" s="34">
        <v>18159000</v>
      </c>
      <c r="L388" s="8">
        <f t="shared" si="146"/>
        <v>18159000</v>
      </c>
      <c r="M388" s="8">
        <v>14527200</v>
      </c>
      <c r="N388" s="8">
        <f t="shared" si="137"/>
        <v>10895400</v>
      </c>
      <c r="O388" s="8"/>
      <c r="P388" s="61"/>
      <c r="Q388" s="8">
        <v>0</v>
      </c>
      <c r="R388" s="4">
        <v>0</v>
      </c>
      <c r="S388" s="143">
        <f t="shared" si="139"/>
        <v>7263600</v>
      </c>
      <c r="T388" s="4">
        <f t="shared" si="147"/>
        <v>3631800</v>
      </c>
      <c r="U388" s="4">
        <f t="shared" si="141"/>
        <v>3631800</v>
      </c>
      <c r="V388" s="34"/>
      <c r="W388" s="34"/>
      <c r="X388" s="4">
        <v>1180335</v>
      </c>
      <c r="Y388" s="8">
        <v>1180335</v>
      </c>
      <c r="Z388" s="143">
        <f t="shared" si="143"/>
        <v>3631800</v>
      </c>
      <c r="AA388" s="4">
        <f t="shared" si="144"/>
        <v>944268</v>
      </c>
      <c r="AB388" s="8">
        <f t="shared" si="142"/>
        <v>708201</v>
      </c>
      <c r="AC388" s="4">
        <f t="shared" si="138"/>
        <v>472134</v>
      </c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</row>
    <row r="389" spans="1:61" s="37" customFormat="1" ht="27.6" customHeight="1" x14ac:dyDescent="0.2">
      <c r="A389" s="138">
        <v>378</v>
      </c>
      <c r="B389" s="58" t="s">
        <v>340</v>
      </c>
      <c r="C389" s="9" t="s">
        <v>221</v>
      </c>
      <c r="D389" s="71">
        <v>15996000</v>
      </c>
      <c r="E389" s="9"/>
      <c r="F389" s="9"/>
      <c r="G389" s="62"/>
      <c r="H389" s="54">
        <v>6.5</v>
      </c>
      <c r="I389" s="34"/>
      <c r="J389" s="34"/>
      <c r="K389" s="34">
        <v>15996000</v>
      </c>
      <c r="L389" s="8">
        <f t="shared" si="146"/>
        <v>15996000</v>
      </c>
      <c r="M389" s="8">
        <v>12796800</v>
      </c>
      <c r="N389" s="8">
        <f t="shared" si="137"/>
        <v>9597600</v>
      </c>
      <c r="O389" s="8"/>
      <c r="P389" s="61"/>
      <c r="Q389" s="8">
        <v>0</v>
      </c>
      <c r="R389" s="4">
        <v>0</v>
      </c>
      <c r="S389" s="143">
        <f t="shared" si="139"/>
        <v>6398400</v>
      </c>
      <c r="T389" s="4">
        <f t="shared" si="147"/>
        <v>3199200</v>
      </c>
      <c r="U389" s="4">
        <f t="shared" si="141"/>
        <v>3199200</v>
      </c>
      <c r="V389" s="34"/>
      <c r="W389" s="34"/>
      <c r="X389" s="4">
        <v>1039740</v>
      </c>
      <c r="Y389" s="8">
        <v>1039740</v>
      </c>
      <c r="Z389" s="143">
        <f t="shared" si="143"/>
        <v>3199200</v>
      </c>
      <c r="AA389" s="4">
        <f t="shared" si="144"/>
        <v>831792</v>
      </c>
      <c r="AB389" s="8">
        <f t="shared" si="142"/>
        <v>623844</v>
      </c>
      <c r="AC389" s="4">
        <f t="shared" si="138"/>
        <v>415896</v>
      </c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</row>
    <row r="390" spans="1:61" s="37" customFormat="1" ht="27.6" customHeight="1" x14ac:dyDescent="0.2">
      <c r="A390" s="9">
        <v>379</v>
      </c>
      <c r="B390" s="58" t="s">
        <v>340</v>
      </c>
      <c r="C390" s="9" t="s">
        <v>221</v>
      </c>
      <c r="D390" s="71">
        <v>5368000</v>
      </c>
      <c r="E390" s="9"/>
      <c r="F390" s="9"/>
      <c r="G390" s="62"/>
      <c r="H390" s="54">
        <v>6.5</v>
      </c>
      <c r="I390" s="34"/>
      <c r="J390" s="34"/>
      <c r="K390" s="34">
        <v>5368000</v>
      </c>
      <c r="L390" s="8">
        <f t="shared" si="146"/>
        <v>5368000</v>
      </c>
      <c r="M390" s="8">
        <v>4294400</v>
      </c>
      <c r="N390" s="8">
        <f t="shared" si="137"/>
        <v>3220800</v>
      </c>
      <c r="O390" s="8"/>
      <c r="P390" s="61"/>
      <c r="Q390" s="8">
        <v>0</v>
      </c>
      <c r="R390" s="4">
        <v>0</v>
      </c>
      <c r="S390" s="143">
        <f t="shared" si="139"/>
        <v>2147200</v>
      </c>
      <c r="T390" s="4">
        <f t="shared" si="147"/>
        <v>1073600</v>
      </c>
      <c r="U390" s="4">
        <f t="shared" si="141"/>
        <v>1073600</v>
      </c>
      <c r="V390" s="34"/>
      <c r="W390" s="34"/>
      <c r="X390" s="4">
        <v>348920</v>
      </c>
      <c r="Y390" s="8">
        <v>348920</v>
      </c>
      <c r="Z390" s="143">
        <f t="shared" si="143"/>
        <v>1073600</v>
      </c>
      <c r="AA390" s="4">
        <f t="shared" si="144"/>
        <v>279136</v>
      </c>
      <c r="AB390" s="8">
        <f t="shared" si="142"/>
        <v>209352</v>
      </c>
      <c r="AC390" s="4">
        <f t="shared" si="138"/>
        <v>139568</v>
      </c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</row>
    <row r="391" spans="1:61" s="37" customFormat="1" ht="27.6" customHeight="1" x14ac:dyDescent="0.2">
      <c r="A391" s="138">
        <v>380</v>
      </c>
      <c r="B391" s="58" t="s">
        <v>342</v>
      </c>
      <c r="C391" s="9" t="s">
        <v>221</v>
      </c>
      <c r="D391" s="71">
        <v>8007000</v>
      </c>
      <c r="E391" s="9"/>
      <c r="F391" s="9"/>
      <c r="G391" s="62"/>
      <c r="H391" s="54">
        <v>6.5</v>
      </c>
      <c r="I391" s="34"/>
      <c r="J391" s="34"/>
      <c r="K391" s="34">
        <v>8007000</v>
      </c>
      <c r="L391" s="8">
        <f t="shared" si="146"/>
        <v>8007000</v>
      </c>
      <c r="M391" s="8">
        <v>6405600</v>
      </c>
      <c r="N391" s="8">
        <f t="shared" si="137"/>
        <v>4804200</v>
      </c>
      <c r="O391" s="8"/>
      <c r="P391" s="61"/>
      <c r="Q391" s="8">
        <v>0</v>
      </c>
      <c r="R391" s="4">
        <v>0</v>
      </c>
      <c r="S391" s="143">
        <f t="shared" si="139"/>
        <v>3202800</v>
      </c>
      <c r="T391" s="4">
        <f t="shared" si="147"/>
        <v>1601400</v>
      </c>
      <c r="U391" s="4">
        <f t="shared" si="141"/>
        <v>1601400</v>
      </c>
      <c r="V391" s="34"/>
      <c r="W391" s="34"/>
      <c r="X391" s="4">
        <v>520455</v>
      </c>
      <c r="Y391" s="8">
        <v>520455</v>
      </c>
      <c r="Z391" s="143">
        <f t="shared" si="143"/>
        <v>1601400</v>
      </c>
      <c r="AA391" s="4">
        <f t="shared" si="144"/>
        <v>416364</v>
      </c>
      <c r="AB391" s="8">
        <f t="shared" si="142"/>
        <v>312273</v>
      </c>
      <c r="AC391" s="4">
        <f t="shared" si="138"/>
        <v>208182</v>
      </c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</row>
    <row r="392" spans="1:61" s="37" customFormat="1" ht="27.6" customHeight="1" x14ac:dyDescent="0.2">
      <c r="A392" s="9">
        <v>381</v>
      </c>
      <c r="B392" s="58" t="s">
        <v>344</v>
      </c>
      <c r="C392" s="9" t="s">
        <v>221</v>
      </c>
      <c r="D392" s="71">
        <v>64945000</v>
      </c>
      <c r="E392" s="9"/>
      <c r="F392" s="9"/>
      <c r="G392" s="62"/>
      <c r="H392" s="54">
        <v>6.5</v>
      </c>
      <c r="I392" s="34"/>
      <c r="J392" s="34"/>
      <c r="K392" s="34">
        <v>64945000</v>
      </c>
      <c r="L392" s="8">
        <f t="shared" si="146"/>
        <v>64945000</v>
      </c>
      <c r="M392" s="8">
        <v>51956000</v>
      </c>
      <c r="N392" s="8">
        <f t="shared" si="137"/>
        <v>38967000</v>
      </c>
      <c r="O392" s="8"/>
      <c r="P392" s="61"/>
      <c r="Q392" s="8">
        <v>0</v>
      </c>
      <c r="R392" s="4">
        <v>0</v>
      </c>
      <c r="S392" s="143">
        <f t="shared" si="139"/>
        <v>25978000</v>
      </c>
      <c r="T392" s="4">
        <f t="shared" si="147"/>
        <v>12989000</v>
      </c>
      <c r="U392" s="4">
        <f t="shared" si="141"/>
        <v>12989000</v>
      </c>
      <c r="V392" s="34"/>
      <c r="W392" s="34"/>
      <c r="X392" s="4">
        <v>4221425</v>
      </c>
      <c r="Y392" s="8">
        <v>4221425</v>
      </c>
      <c r="Z392" s="143">
        <f t="shared" si="143"/>
        <v>12989000</v>
      </c>
      <c r="AA392" s="4">
        <f t="shared" si="144"/>
        <v>3377140</v>
      </c>
      <c r="AB392" s="8">
        <f t="shared" si="142"/>
        <v>2532855</v>
      </c>
      <c r="AC392" s="4">
        <f t="shared" si="138"/>
        <v>1688570</v>
      </c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</row>
    <row r="393" spans="1:61" s="37" customFormat="1" ht="27.6" customHeight="1" x14ac:dyDescent="0.2">
      <c r="A393" s="138">
        <v>382</v>
      </c>
      <c r="B393" s="58" t="s">
        <v>333</v>
      </c>
      <c r="C393" s="9" t="s">
        <v>221</v>
      </c>
      <c r="D393" s="71">
        <v>41679000</v>
      </c>
      <c r="E393" s="9"/>
      <c r="F393" s="9"/>
      <c r="G393" s="62"/>
      <c r="H393" s="54">
        <v>6.5</v>
      </c>
      <c r="I393" s="34"/>
      <c r="J393" s="34"/>
      <c r="K393" s="34">
        <v>41679000</v>
      </c>
      <c r="L393" s="8">
        <f t="shared" si="146"/>
        <v>41679000</v>
      </c>
      <c r="M393" s="8">
        <v>33343200</v>
      </c>
      <c r="N393" s="8">
        <f t="shared" si="137"/>
        <v>25007400</v>
      </c>
      <c r="O393" s="8"/>
      <c r="P393" s="61"/>
      <c r="Q393" s="8">
        <v>0</v>
      </c>
      <c r="R393" s="4">
        <v>0</v>
      </c>
      <c r="S393" s="143">
        <f t="shared" si="139"/>
        <v>16671600</v>
      </c>
      <c r="T393" s="4">
        <f t="shared" si="147"/>
        <v>8335800</v>
      </c>
      <c r="U393" s="4">
        <f t="shared" si="141"/>
        <v>8335800</v>
      </c>
      <c r="V393" s="34"/>
      <c r="W393" s="34"/>
      <c r="X393" s="4">
        <v>2709135</v>
      </c>
      <c r="Y393" s="8">
        <v>2709135</v>
      </c>
      <c r="Z393" s="143">
        <f t="shared" si="143"/>
        <v>8335800</v>
      </c>
      <c r="AA393" s="4">
        <f t="shared" si="144"/>
        <v>2167308</v>
      </c>
      <c r="AB393" s="8">
        <f t="shared" si="142"/>
        <v>1625481</v>
      </c>
      <c r="AC393" s="4">
        <f t="shared" si="138"/>
        <v>1083654</v>
      </c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</row>
    <row r="394" spans="1:61" s="95" customFormat="1" ht="27.6" customHeight="1" x14ac:dyDescent="0.2">
      <c r="A394" s="9">
        <v>383</v>
      </c>
      <c r="B394" s="58" t="s">
        <v>348</v>
      </c>
      <c r="C394" s="9" t="s">
        <v>221</v>
      </c>
      <c r="D394" s="71">
        <v>1950000</v>
      </c>
      <c r="E394" s="9"/>
      <c r="F394" s="9"/>
      <c r="G394" s="62"/>
      <c r="H394" s="54">
        <v>6.5</v>
      </c>
      <c r="I394" s="34"/>
      <c r="J394" s="34"/>
      <c r="K394" s="34">
        <v>1950000</v>
      </c>
      <c r="L394" s="8">
        <f t="shared" si="146"/>
        <v>1950000</v>
      </c>
      <c r="M394" s="8">
        <v>1560000</v>
      </c>
      <c r="N394" s="8">
        <f t="shared" si="137"/>
        <v>1170000</v>
      </c>
      <c r="O394" s="8"/>
      <c r="P394" s="61"/>
      <c r="Q394" s="8">
        <v>0</v>
      </c>
      <c r="R394" s="4">
        <v>0</v>
      </c>
      <c r="S394" s="143">
        <f t="shared" si="139"/>
        <v>780000</v>
      </c>
      <c r="T394" s="4">
        <f t="shared" si="147"/>
        <v>390000</v>
      </c>
      <c r="U394" s="4">
        <f t="shared" si="141"/>
        <v>390000</v>
      </c>
      <c r="V394" s="34"/>
      <c r="W394" s="34"/>
      <c r="X394" s="4">
        <v>126750</v>
      </c>
      <c r="Y394" s="8">
        <v>126750</v>
      </c>
      <c r="Z394" s="143">
        <f t="shared" si="143"/>
        <v>390000</v>
      </c>
      <c r="AA394" s="4">
        <f t="shared" si="144"/>
        <v>101400</v>
      </c>
      <c r="AB394" s="8">
        <f t="shared" si="142"/>
        <v>76050</v>
      </c>
      <c r="AC394" s="4">
        <f t="shared" si="138"/>
        <v>50700</v>
      </c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</row>
    <row r="395" spans="1:61" s="95" customFormat="1" ht="27.6" customHeight="1" x14ac:dyDescent="0.2">
      <c r="A395" s="138">
        <v>384</v>
      </c>
      <c r="B395" s="58" t="s">
        <v>350</v>
      </c>
      <c r="C395" s="9" t="s">
        <v>221</v>
      </c>
      <c r="D395" s="71">
        <v>6110000</v>
      </c>
      <c r="E395" s="9"/>
      <c r="F395" s="9"/>
      <c r="G395" s="62"/>
      <c r="H395" s="54">
        <v>6.5</v>
      </c>
      <c r="I395" s="34"/>
      <c r="J395" s="34"/>
      <c r="K395" s="34">
        <v>6110000</v>
      </c>
      <c r="L395" s="8">
        <f t="shared" si="146"/>
        <v>6110000</v>
      </c>
      <c r="M395" s="8">
        <v>4888000</v>
      </c>
      <c r="N395" s="8">
        <f t="shared" si="137"/>
        <v>3666000</v>
      </c>
      <c r="O395" s="8"/>
      <c r="P395" s="61"/>
      <c r="Q395" s="8">
        <v>0</v>
      </c>
      <c r="R395" s="4">
        <v>0</v>
      </c>
      <c r="S395" s="143">
        <f t="shared" si="139"/>
        <v>2444000</v>
      </c>
      <c r="T395" s="4">
        <f t="shared" si="147"/>
        <v>1222000</v>
      </c>
      <c r="U395" s="4">
        <f t="shared" si="141"/>
        <v>1222000</v>
      </c>
      <c r="V395" s="34"/>
      <c r="W395" s="34"/>
      <c r="X395" s="4">
        <v>397150</v>
      </c>
      <c r="Y395" s="8">
        <v>397150</v>
      </c>
      <c r="Z395" s="143">
        <f t="shared" si="143"/>
        <v>1222000</v>
      </c>
      <c r="AA395" s="4">
        <f t="shared" si="144"/>
        <v>317720</v>
      </c>
      <c r="AB395" s="8">
        <f t="shared" si="142"/>
        <v>238290</v>
      </c>
      <c r="AC395" s="4">
        <f t="shared" si="138"/>
        <v>158860</v>
      </c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</row>
    <row r="396" spans="1:61" s="95" customFormat="1" ht="27.6" customHeight="1" x14ac:dyDescent="0.2">
      <c r="A396" s="9">
        <v>385</v>
      </c>
      <c r="B396" s="58" t="s">
        <v>350</v>
      </c>
      <c r="C396" s="9" t="s">
        <v>221</v>
      </c>
      <c r="D396" s="71">
        <v>11728000</v>
      </c>
      <c r="E396" s="9"/>
      <c r="F396" s="9"/>
      <c r="G396" s="62"/>
      <c r="H396" s="54">
        <v>6.5</v>
      </c>
      <c r="I396" s="34"/>
      <c r="J396" s="34"/>
      <c r="K396" s="34">
        <v>11728000</v>
      </c>
      <c r="L396" s="8">
        <f t="shared" si="146"/>
        <v>11728000</v>
      </c>
      <c r="M396" s="8">
        <v>9382400</v>
      </c>
      <c r="N396" s="8">
        <f t="shared" si="137"/>
        <v>7036800</v>
      </c>
      <c r="O396" s="8"/>
      <c r="P396" s="61"/>
      <c r="Q396" s="8">
        <v>0</v>
      </c>
      <c r="R396" s="4">
        <v>0</v>
      </c>
      <c r="S396" s="143">
        <f t="shared" si="139"/>
        <v>4691200</v>
      </c>
      <c r="T396" s="4">
        <f t="shared" si="147"/>
        <v>2345600</v>
      </c>
      <c r="U396" s="4">
        <f t="shared" si="141"/>
        <v>2345600</v>
      </c>
      <c r="V396" s="34"/>
      <c r="W396" s="34"/>
      <c r="X396" s="4">
        <v>762320</v>
      </c>
      <c r="Y396" s="8">
        <v>762320</v>
      </c>
      <c r="Z396" s="143">
        <f t="shared" si="143"/>
        <v>2345600</v>
      </c>
      <c r="AA396" s="4">
        <f t="shared" si="144"/>
        <v>609856</v>
      </c>
      <c r="AB396" s="8">
        <f t="shared" si="142"/>
        <v>457392</v>
      </c>
      <c r="AC396" s="4">
        <f t="shared" si="138"/>
        <v>304928</v>
      </c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</row>
    <row r="397" spans="1:61" s="95" customFormat="1" ht="27.6" customHeight="1" x14ac:dyDescent="0.2">
      <c r="A397" s="138">
        <v>386</v>
      </c>
      <c r="B397" s="58" t="s">
        <v>353</v>
      </c>
      <c r="C397" s="9" t="s">
        <v>221</v>
      </c>
      <c r="D397" s="71">
        <v>196935000</v>
      </c>
      <c r="E397" s="9"/>
      <c r="F397" s="9"/>
      <c r="G397" s="62"/>
      <c r="H397" s="54">
        <v>6.5</v>
      </c>
      <c r="I397" s="34"/>
      <c r="J397" s="34"/>
      <c r="K397" s="34">
        <v>196935000</v>
      </c>
      <c r="L397" s="8">
        <f t="shared" si="146"/>
        <v>196935000</v>
      </c>
      <c r="M397" s="8">
        <v>157548000</v>
      </c>
      <c r="N397" s="8">
        <f t="shared" si="137"/>
        <v>118161000</v>
      </c>
      <c r="O397" s="8"/>
      <c r="P397" s="61"/>
      <c r="Q397" s="8">
        <v>0</v>
      </c>
      <c r="R397" s="4">
        <v>0</v>
      </c>
      <c r="S397" s="143">
        <f t="shared" si="139"/>
        <v>78774000</v>
      </c>
      <c r="T397" s="4">
        <f t="shared" si="147"/>
        <v>39387000</v>
      </c>
      <c r="U397" s="4">
        <f t="shared" si="141"/>
        <v>39387000</v>
      </c>
      <c r="V397" s="34"/>
      <c r="W397" s="34"/>
      <c r="X397" s="4">
        <v>12800775</v>
      </c>
      <c r="Y397" s="8">
        <v>12800775</v>
      </c>
      <c r="Z397" s="143">
        <f t="shared" si="143"/>
        <v>39387000</v>
      </c>
      <c r="AA397" s="4">
        <f t="shared" si="144"/>
        <v>10240620</v>
      </c>
      <c r="AB397" s="8">
        <f t="shared" si="142"/>
        <v>7680465</v>
      </c>
      <c r="AC397" s="4">
        <f t="shared" si="138"/>
        <v>5120310</v>
      </c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</row>
    <row r="398" spans="1:61" s="95" customFormat="1" ht="27.6" customHeight="1" x14ac:dyDescent="0.2">
      <c r="A398" s="9">
        <v>387</v>
      </c>
      <c r="B398" s="58" t="s">
        <v>355</v>
      </c>
      <c r="C398" s="9" t="s">
        <v>221</v>
      </c>
      <c r="D398" s="71">
        <v>1500000</v>
      </c>
      <c r="E398" s="9"/>
      <c r="F398" s="9"/>
      <c r="G398" s="62"/>
      <c r="H398" s="54">
        <v>6.5</v>
      </c>
      <c r="I398" s="34"/>
      <c r="J398" s="34"/>
      <c r="K398" s="34">
        <v>1500000</v>
      </c>
      <c r="L398" s="8">
        <f t="shared" si="146"/>
        <v>1500000</v>
      </c>
      <c r="M398" s="8">
        <v>1200000</v>
      </c>
      <c r="N398" s="8">
        <f t="shared" si="137"/>
        <v>900000</v>
      </c>
      <c r="O398" s="8"/>
      <c r="P398" s="61"/>
      <c r="Q398" s="8">
        <v>0</v>
      </c>
      <c r="R398" s="4">
        <v>0</v>
      </c>
      <c r="S398" s="143">
        <f t="shared" si="139"/>
        <v>600000</v>
      </c>
      <c r="T398" s="4">
        <f t="shared" si="147"/>
        <v>300000</v>
      </c>
      <c r="U398" s="4">
        <f t="shared" si="141"/>
        <v>300000</v>
      </c>
      <c r="V398" s="34"/>
      <c r="W398" s="34"/>
      <c r="X398" s="4">
        <v>97500</v>
      </c>
      <c r="Y398" s="8">
        <v>97500</v>
      </c>
      <c r="Z398" s="143">
        <f t="shared" si="143"/>
        <v>300000</v>
      </c>
      <c r="AA398" s="4">
        <f t="shared" si="144"/>
        <v>78000</v>
      </c>
      <c r="AB398" s="8">
        <f t="shared" si="142"/>
        <v>58500</v>
      </c>
      <c r="AC398" s="4">
        <f t="shared" si="138"/>
        <v>39000</v>
      </c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</row>
    <row r="399" spans="1:61" s="95" customFormat="1" ht="27.6" customHeight="1" x14ac:dyDescent="0.2">
      <c r="A399" s="138">
        <v>388</v>
      </c>
      <c r="B399" s="58" t="s">
        <v>355</v>
      </c>
      <c r="C399" s="9" t="s">
        <v>221</v>
      </c>
      <c r="D399" s="71">
        <v>12350000</v>
      </c>
      <c r="E399" s="9"/>
      <c r="F399" s="9"/>
      <c r="G399" s="62"/>
      <c r="H399" s="54">
        <v>6.5</v>
      </c>
      <c r="I399" s="34"/>
      <c r="J399" s="34"/>
      <c r="K399" s="34">
        <v>12350000</v>
      </c>
      <c r="L399" s="8">
        <f t="shared" si="146"/>
        <v>12350000</v>
      </c>
      <c r="M399" s="8">
        <v>9880000</v>
      </c>
      <c r="N399" s="8">
        <f t="shared" si="137"/>
        <v>7410000</v>
      </c>
      <c r="O399" s="8"/>
      <c r="P399" s="61"/>
      <c r="Q399" s="8">
        <v>0</v>
      </c>
      <c r="R399" s="4">
        <v>0</v>
      </c>
      <c r="S399" s="143">
        <f t="shared" si="139"/>
        <v>4940000</v>
      </c>
      <c r="T399" s="4">
        <f t="shared" si="147"/>
        <v>2470000</v>
      </c>
      <c r="U399" s="4">
        <f t="shared" si="141"/>
        <v>2470000</v>
      </c>
      <c r="V399" s="34"/>
      <c r="W399" s="34"/>
      <c r="X399" s="4">
        <v>802750</v>
      </c>
      <c r="Y399" s="8">
        <v>802750</v>
      </c>
      <c r="Z399" s="143">
        <f t="shared" si="143"/>
        <v>2470000</v>
      </c>
      <c r="AA399" s="4">
        <f t="shared" si="144"/>
        <v>642200</v>
      </c>
      <c r="AB399" s="8">
        <f t="shared" si="142"/>
        <v>481650</v>
      </c>
      <c r="AC399" s="4">
        <f t="shared" si="138"/>
        <v>321100</v>
      </c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</row>
    <row r="400" spans="1:61" s="95" customFormat="1" ht="27.6" customHeight="1" x14ac:dyDescent="0.2">
      <c r="A400" s="9">
        <v>389</v>
      </c>
      <c r="B400" s="58" t="s">
        <v>359</v>
      </c>
      <c r="C400" s="9" t="s">
        <v>221</v>
      </c>
      <c r="D400" s="71">
        <v>63674000</v>
      </c>
      <c r="E400" s="9"/>
      <c r="F400" s="9"/>
      <c r="G400" s="62"/>
      <c r="H400" s="54">
        <v>6.5</v>
      </c>
      <c r="I400" s="34"/>
      <c r="J400" s="34"/>
      <c r="K400" s="34">
        <v>63674000</v>
      </c>
      <c r="L400" s="8">
        <f t="shared" si="146"/>
        <v>63674000</v>
      </c>
      <c r="M400" s="8">
        <v>50939200</v>
      </c>
      <c r="N400" s="8">
        <f t="shared" si="137"/>
        <v>38204400</v>
      </c>
      <c r="O400" s="8"/>
      <c r="P400" s="61"/>
      <c r="Q400" s="8">
        <v>0</v>
      </c>
      <c r="R400" s="4">
        <v>0</v>
      </c>
      <c r="S400" s="143">
        <f t="shared" si="139"/>
        <v>25469600</v>
      </c>
      <c r="T400" s="4">
        <f t="shared" si="147"/>
        <v>12734800</v>
      </c>
      <c r="U400" s="4">
        <f t="shared" si="141"/>
        <v>12734800</v>
      </c>
      <c r="V400" s="34"/>
      <c r="W400" s="34"/>
      <c r="X400" s="4">
        <v>4138810</v>
      </c>
      <c r="Y400" s="8">
        <v>4138810</v>
      </c>
      <c r="Z400" s="143">
        <f t="shared" si="143"/>
        <v>12734800</v>
      </c>
      <c r="AA400" s="4">
        <f t="shared" si="144"/>
        <v>3311048</v>
      </c>
      <c r="AB400" s="8">
        <f t="shared" si="142"/>
        <v>2483286</v>
      </c>
      <c r="AC400" s="4">
        <f t="shared" si="138"/>
        <v>1655524</v>
      </c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</row>
    <row r="401" spans="1:61" s="95" customFormat="1" ht="27.6" customHeight="1" x14ac:dyDescent="0.2">
      <c r="A401" s="138">
        <v>390</v>
      </c>
      <c r="B401" s="58" t="s">
        <v>359</v>
      </c>
      <c r="C401" s="9" t="s">
        <v>221</v>
      </c>
      <c r="D401" s="71">
        <v>59753000</v>
      </c>
      <c r="E401" s="9"/>
      <c r="F401" s="9"/>
      <c r="G401" s="62"/>
      <c r="H401" s="54">
        <v>6.5</v>
      </c>
      <c r="I401" s="34"/>
      <c r="J401" s="34"/>
      <c r="K401" s="34">
        <v>59753000</v>
      </c>
      <c r="L401" s="8">
        <f t="shared" si="146"/>
        <v>59753000</v>
      </c>
      <c r="M401" s="8">
        <v>47802400</v>
      </c>
      <c r="N401" s="8">
        <f t="shared" si="137"/>
        <v>35851800</v>
      </c>
      <c r="O401" s="8"/>
      <c r="P401" s="61"/>
      <c r="Q401" s="8">
        <v>0</v>
      </c>
      <c r="R401" s="4">
        <v>0</v>
      </c>
      <c r="S401" s="143">
        <f t="shared" si="139"/>
        <v>23901200</v>
      </c>
      <c r="T401" s="4">
        <f t="shared" si="147"/>
        <v>11950600</v>
      </c>
      <c r="U401" s="4">
        <f t="shared" si="141"/>
        <v>11950600</v>
      </c>
      <c r="V401" s="34"/>
      <c r="W401" s="34"/>
      <c r="X401" s="4">
        <v>3883945</v>
      </c>
      <c r="Y401" s="8">
        <v>3883945</v>
      </c>
      <c r="Z401" s="143">
        <f t="shared" si="143"/>
        <v>11950600</v>
      </c>
      <c r="AA401" s="4">
        <f t="shared" si="144"/>
        <v>3107156</v>
      </c>
      <c r="AB401" s="8">
        <f t="shared" si="142"/>
        <v>2330367</v>
      </c>
      <c r="AC401" s="4">
        <f t="shared" si="138"/>
        <v>1553578</v>
      </c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</row>
    <row r="402" spans="1:61" s="95" customFormat="1" ht="27.6" customHeight="1" x14ac:dyDescent="0.2">
      <c r="A402" s="9">
        <v>391</v>
      </c>
      <c r="B402" s="58" t="s">
        <v>362</v>
      </c>
      <c r="C402" s="9" t="s">
        <v>221</v>
      </c>
      <c r="D402" s="71">
        <v>36045000</v>
      </c>
      <c r="E402" s="9"/>
      <c r="F402" s="9"/>
      <c r="G402" s="62"/>
      <c r="H402" s="54">
        <v>6.5</v>
      </c>
      <c r="I402" s="34"/>
      <c r="J402" s="34"/>
      <c r="K402" s="34">
        <v>36045000</v>
      </c>
      <c r="L402" s="8">
        <f t="shared" si="146"/>
        <v>36045000</v>
      </c>
      <c r="M402" s="8">
        <v>28836000</v>
      </c>
      <c r="N402" s="8">
        <f t="shared" si="137"/>
        <v>21627000</v>
      </c>
      <c r="O402" s="8"/>
      <c r="P402" s="61"/>
      <c r="Q402" s="8">
        <v>0</v>
      </c>
      <c r="R402" s="4">
        <v>0</v>
      </c>
      <c r="S402" s="143">
        <f t="shared" si="139"/>
        <v>14418000</v>
      </c>
      <c r="T402" s="4">
        <f t="shared" si="147"/>
        <v>7209000</v>
      </c>
      <c r="U402" s="4">
        <f t="shared" si="141"/>
        <v>7209000</v>
      </c>
      <c r="V402" s="34"/>
      <c r="W402" s="34"/>
      <c r="X402" s="4">
        <v>2342925</v>
      </c>
      <c r="Y402" s="8">
        <v>2342925</v>
      </c>
      <c r="Z402" s="143">
        <f t="shared" si="143"/>
        <v>7209000</v>
      </c>
      <c r="AA402" s="4">
        <f t="shared" si="144"/>
        <v>1874340</v>
      </c>
      <c r="AB402" s="8">
        <f t="shared" si="142"/>
        <v>1405755</v>
      </c>
      <c r="AC402" s="4">
        <f t="shared" si="138"/>
        <v>937170</v>
      </c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</row>
    <row r="403" spans="1:61" s="95" customFormat="1" ht="27.6" customHeight="1" x14ac:dyDescent="0.2">
      <c r="A403" s="138">
        <v>392</v>
      </c>
      <c r="B403" s="58" t="s">
        <v>362</v>
      </c>
      <c r="C403" s="9" t="s">
        <v>221</v>
      </c>
      <c r="D403" s="71">
        <v>61515000</v>
      </c>
      <c r="E403" s="9"/>
      <c r="F403" s="9"/>
      <c r="G403" s="62"/>
      <c r="H403" s="54">
        <v>6.5</v>
      </c>
      <c r="I403" s="34"/>
      <c r="J403" s="34"/>
      <c r="K403" s="34">
        <v>61515000</v>
      </c>
      <c r="L403" s="8">
        <f t="shared" si="146"/>
        <v>61515000</v>
      </c>
      <c r="M403" s="8">
        <v>49212000</v>
      </c>
      <c r="N403" s="8">
        <f t="shared" si="137"/>
        <v>36909000</v>
      </c>
      <c r="O403" s="8"/>
      <c r="P403" s="61"/>
      <c r="Q403" s="8">
        <v>0</v>
      </c>
      <c r="R403" s="4">
        <v>0</v>
      </c>
      <c r="S403" s="143">
        <f t="shared" si="139"/>
        <v>24606000</v>
      </c>
      <c r="T403" s="4">
        <f t="shared" si="147"/>
        <v>12303000</v>
      </c>
      <c r="U403" s="4">
        <f t="shared" si="141"/>
        <v>12303000</v>
      </c>
      <c r="V403" s="34"/>
      <c r="W403" s="34"/>
      <c r="X403" s="4">
        <v>3998475</v>
      </c>
      <c r="Y403" s="8">
        <v>3998475</v>
      </c>
      <c r="Z403" s="143">
        <f t="shared" si="143"/>
        <v>12303000</v>
      </c>
      <c r="AA403" s="4">
        <f t="shared" si="144"/>
        <v>3198780</v>
      </c>
      <c r="AB403" s="8">
        <f t="shared" si="142"/>
        <v>2399085</v>
      </c>
      <c r="AC403" s="4">
        <f t="shared" si="138"/>
        <v>1599390</v>
      </c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</row>
    <row r="404" spans="1:61" s="95" customFormat="1" ht="27.6" customHeight="1" x14ac:dyDescent="0.2">
      <c r="A404" s="9">
        <v>393</v>
      </c>
      <c r="B404" s="58" t="s">
        <v>364</v>
      </c>
      <c r="C404" s="9" t="s">
        <v>221</v>
      </c>
      <c r="D404" s="71">
        <v>11476000</v>
      </c>
      <c r="E404" s="9"/>
      <c r="F404" s="9"/>
      <c r="G404" s="62"/>
      <c r="H404" s="54">
        <v>6.5</v>
      </c>
      <c r="I404" s="34"/>
      <c r="J404" s="34"/>
      <c r="K404" s="34">
        <v>11476000</v>
      </c>
      <c r="L404" s="8">
        <f t="shared" si="146"/>
        <v>11476000</v>
      </c>
      <c r="M404" s="8">
        <v>9180800</v>
      </c>
      <c r="N404" s="8">
        <f t="shared" si="137"/>
        <v>6885600</v>
      </c>
      <c r="O404" s="8"/>
      <c r="P404" s="61"/>
      <c r="Q404" s="8">
        <v>0</v>
      </c>
      <c r="R404" s="4">
        <v>0</v>
      </c>
      <c r="S404" s="143">
        <f t="shared" si="139"/>
        <v>4590400</v>
      </c>
      <c r="T404" s="4">
        <f t="shared" si="147"/>
        <v>2295200</v>
      </c>
      <c r="U404" s="4">
        <f t="shared" si="141"/>
        <v>2295200</v>
      </c>
      <c r="V404" s="34"/>
      <c r="W404" s="34"/>
      <c r="X404" s="4">
        <v>745940</v>
      </c>
      <c r="Y404" s="8">
        <v>745940</v>
      </c>
      <c r="Z404" s="143">
        <f t="shared" si="143"/>
        <v>2295200</v>
      </c>
      <c r="AA404" s="4">
        <f t="shared" si="144"/>
        <v>596752</v>
      </c>
      <c r="AB404" s="8">
        <f t="shared" si="142"/>
        <v>447564</v>
      </c>
      <c r="AC404" s="4">
        <f t="shared" si="138"/>
        <v>298376</v>
      </c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</row>
    <row r="405" spans="1:61" s="95" customFormat="1" ht="27.6" customHeight="1" x14ac:dyDescent="0.2">
      <c r="A405" s="138">
        <v>394</v>
      </c>
      <c r="B405" s="58" t="s">
        <v>365</v>
      </c>
      <c r="C405" s="9" t="s">
        <v>221</v>
      </c>
      <c r="D405" s="71">
        <v>34500000</v>
      </c>
      <c r="E405" s="9"/>
      <c r="F405" s="9"/>
      <c r="G405" s="62"/>
      <c r="H405" s="54">
        <v>6.5</v>
      </c>
      <c r="I405" s="34"/>
      <c r="J405" s="34"/>
      <c r="K405" s="34">
        <v>34500000</v>
      </c>
      <c r="L405" s="8">
        <f t="shared" si="146"/>
        <v>34500000</v>
      </c>
      <c r="M405" s="8">
        <v>27600000</v>
      </c>
      <c r="N405" s="8">
        <f t="shared" si="137"/>
        <v>20700000</v>
      </c>
      <c r="O405" s="8"/>
      <c r="P405" s="61"/>
      <c r="Q405" s="8">
        <v>0</v>
      </c>
      <c r="R405" s="4">
        <v>0</v>
      </c>
      <c r="S405" s="143">
        <f t="shared" si="139"/>
        <v>13800000</v>
      </c>
      <c r="T405" s="4">
        <f t="shared" si="147"/>
        <v>6900000</v>
      </c>
      <c r="U405" s="4">
        <f t="shared" si="141"/>
        <v>6900000</v>
      </c>
      <c r="V405" s="34"/>
      <c r="W405" s="34"/>
      <c r="X405" s="4">
        <v>2242500</v>
      </c>
      <c r="Y405" s="8">
        <v>2242500</v>
      </c>
      <c r="Z405" s="143">
        <f t="shared" si="143"/>
        <v>6900000</v>
      </c>
      <c r="AA405" s="4">
        <f t="shared" si="144"/>
        <v>1794000</v>
      </c>
      <c r="AB405" s="8">
        <f t="shared" si="142"/>
        <v>1345500</v>
      </c>
      <c r="AC405" s="4">
        <f t="shared" si="138"/>
        <v>897000</v>
      </c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</row>
    <row r="406" spans="1:61" s="95" customFormat="1" ht="27.6" customHeight="1" x14ac:dyDescent="0.2">
      <c r="A406" s="9">
        <v>395</v>
      </c>
      <c r="B406" s="58" t="s">
        <v>365</v>
      </c>
      <c r="C406" s="9" t="s">
        <v>221</v>
      </c>
      <c r="D406" s="71">
        <v>6720000</v>
      </c>
      <c r="E406" s="9"/>
      <c r="F406" s="9"/>
      <c r="G406" s="62"/>
      <c r="H406" s="54">
        <v>6.5</v>
      </c>
      <c r="I406" s="34"/>
      <c r="J406" s="34"/>
      <c r="K406" s="34">
        <v>6720000</v>
      </c>
      <c r="L406" s="8">
        <f t="shared" si="146"/>
        <v>6720000</v>
      </c>
      <c r="M406" s="8">
        <v>5376000</v>
      </c>
      <c r="N406" s="8">
        <f t="shared" si="137"/>
        <v>4032000</v>
      </c>
      <c r="O406" s="8"/>
      <c r="P406" s="61"/>
      <c r="Q406" s="8">
        <v>0</v>
      </c>
      <c r="R406" s="4">
        <v>0</v>
      </c>
      <c r="S406" s="143">
        <f t="shared" si="139"/>
        <v>2688000</v>
      </c>
      <c r="T406" s="4">
        <f t="shared" si="147"/>
        <v>1344000</v>
      </c>
      <c r="U406" s="4">
        <f t="shared" si="141"/>
        <v>1344000</v>
      </c>
      <c r="V406" s="34"/>
      <c r="W406" s="34"/>
      <c r="X406" s="4">
        <v>436800</v>
      </c>
      <c r="Y406" s="8">
        <v>436800</v>
      </c>
      <c r="Z406" s="143">
        <f t="shared" si="143"/>
        <v>1344000</v>
      </c>
      <c r="AA406" s="4">
        <f t="shared" si="144"/>
        <v>349440</v>
      </c>
      <c r="AB406" s="8">
        <f t="shared" si="142"/>
        <v>262080</v>
      </c>
      <c r="AC406" s="4">
        <f t="shared" si="138"/>
        <v>174720</v>
      </c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</row>
    <row r="407" spans="1:61" s="95" customFormat="1" ht="27.6" customHeight="1" x14ac:dyDescent="0.2">
      <c r="A407" s="138">
        <v>396</v>
      </c>
      <c r="B407" s="58" t="s">
        <v>365</v>
      </c>
      <c r="C407" s="9" t="s">
        <v>221</v>
      </c>
      <c r="D407" s="71">
        <v>46500000</v>
      </c>
      <c r="E407" s="9"/>
      <c r="F407" s="9"/>
      <c r="G407" s="62"/>
      <c r="H407" s="54">
        <v>6.5</v>
      </c>
      <c r="I407" s="34"/>
      <c r="J407" s="34"/>
      <c r="K407" s="34">
        <v>46500000</v>
      </c>
      <c r="L407" s="8">
        <f t="shared" si="146"/>
        <v>46500000</v>
      </c>
      <c r="M407" s="8">
        <v>37200000</v>
      </c>
      <c r="N407" s="8">
        <f t="shared" si="137"/>
        <v>27900000</v>
      </c>
      <c r="O407" s="8"/>
      <c r="P407" s="61"/>
      <c r="Q407" s="8">
        <v>0</v>
      </c>
      <c r="R407" s="4">
        <v>0</v>
      </c>
      <c r="S407" s="143">
        <f t="shared" si="139"/>
        <v>18600000</v>
      </c>
      <c r="T407" s="4">
        <f t="shared" si="147"/>
        <v>9300000</v>
      </c>
      <c r="U407" s="4">
        <f t="shared" si="141"/>
        <v>9300000</v>
      </c>
      <c r="V407" s="34"/>
      <c r="W407" s="34"/>
      <c r="X407" s="4">
        <v>3022500</v>
      </c>
      <c r="Y407" s="8">
        <v>3022500</v>
      </c>
      <c r="Z407" s="143">
        <f t="shared" si="143"/>
        <v>9300000</v>
      </c>
      <c r="AA407" s="4">
        <f t="shared" si="144"/>
        <v>2418000</v>
      </c>
      <c r="AB407" s="8">
        <f t="shared" si="142"/>
        <v>1813500</v>
      </c>
      <c r="AC407" s="4">
        <f t="shared" si="138"/>
        <v>1209000</v>
      </c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</row>
    <row r="408" spans="1:61" s="95" customFormat="1" ht="27.6" customHeight="1" x14ac:dyDescent="0.2">
      <c r="A408" s="9">
        <v>397</v>
      </c>
      <c r="B408" s="58" t="s">
        <v>365</v>
      </c>
      <c r="C408" s="9" t="s">
        <v>221</v>
      </c>
      <c r="D408" s="71">
        <v>3215000</v>
      </c>
      <c r="E408" s="9"/>
      <c r="F408" s="9"/>
      <c r="G408" s="62"/>
      <c r="H408" s="54">
        <v>6.5</v>
      </c>
      <c r="I408" s="34"/>
      <c r="J408" s="34"/>
      <c r="K408" s="34">
        <v>3215000</v>
      </c>
      <c r="L408" s="8">
        <f t="shared" si="146"/>
        <v>3215000</v>
      </c>
      <c r="M408" s="8">
        <v>2572000</v>
      </c>
      <c r="N408" s="8">
        <f t="shared" si="137"/>
        <v>1929000</v>
      </c>
      <c r="O408" s="8"/>
      <c r="P408" s="61"/>
      <c r="Q408" s="8">
        <v>0</v>
      </c>
      <c r="R408" s="4">
        <v>0</v>
      </c>
      <c r="S408" s="143">
        <f t="shared" si="139"/>
        <v>1286000</v>
      </c>
      <c r="T408" s="4">
        <f t="shared" si="147"/>
        <v>643000</v>
      </c>
      <c r="U408" s="4">
        <f t="shared" si="141"/>
        <v>643000</v>
      </c>
      <c r="V408" s="34"/>
      <c r="W408" s="34"/>
      <c r="X408" s="4">
        <v>208975</v>
      </c>
      <c r="Y408" s="8">
        <v>208975</v>
      </c>
      <c r="Z408" s="143">
        <f t="shared" si="143"/>
        <v>643000</v>
      </c>
      <c r="AA408" s="4">
        <f t="shared" si="144"/>
        <v>167180</v>
      </c>
      <c r="AB408" s="8">
        <f t="shared" si="142"/>
        <v>125385</v>
      </c>
      <c r="AC408" s="4">
        <f t="shared" si="138"/>
        <v>83590</v>
      </c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</row>
    <row r="409" spans="1:61" s="95" customFormat="1" ht="27.6" customHeight="1" x14ac:dyDescent="0.2">
      <c r="A409" s="138">
        <v>398</v>
      </c>
      <c r="B409" s="58" t="s">
        <v>381</v>
      </c>
      <c r="C409" s="9" t="s">
        <v>221</v>
      </c>
      <c r="D409" s="71">
        <v>50666000</v>
      </c>
      <c r="E409" s="9"/>
      <c r="F409" s="9"/>
      <c r="G409" s="62"/>
      <c r="H409" s="54">
        <v>6.5</v>
      </c>
      <c r="I409" s="34"/>
      <c r="J409" s="34"/>
      <c r="K409" s="34">
        <v>0</v>
      </c>
      <c r="L409" s="8">
        <f t="shared" si="146"/>
        <v>50666000</v>
      </c>
      <c r="M409" s="8">
        <v>50666000</v>
      </c>
      <c r="N409" s="8">
        <f>M409-T409</f>
        <v>40532800</v>
      </c>
      <c r="O409" s="8"/>
      <c r="P409" s="61"/>
      <c r="Q409" s="8">
        <v>0</v>
      </c>
      <c r="R409" s="4">
        <v>0</v>
      </c>
      <c r="S409" s="143">
        <f t="shared" si="139"/>
        <v>30399600</v>
      </c>
      <c r="T409" s="4">
        <f>U409</f>
        <v>10133200</v>
      </c>
      <c r="U409" s="4">
        <f>M409/5</f>
        <v>10133200</v>
      </c>
      <c r="V409" s="34"/>
      <c r="W409" s="34"/>
      <c r="X409" s="4">
        <v>3157950</v>
      </c>
      <c r="Y409" s="8">
        <v>3293290</v>
      </c>
      <c r="Z409" s="143">
        <f t="shared" si="143"/>
        <v>10133200</v>
      </c>
      <c r="AA409" s="4">
        <f>M409*6.5/100</f>
        <v>3293290</v>
      </c>
      <c r="AB409" s="8">
        <f t="shared" si="142"/>
        <v>2634632</v>
      </c>
      <c r="AC409" s="4">
        <f t="shared" si="138"/>
        <v>1975974</v>
      </c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</row>
    <row r="410" spans="1:61" s="95" customFormat="1" ht="27.6" customHeight="1" x14ac:dyDescent="0.2">
      <c r="A410" s="9">
        <v>399</v>
      </c>
      <c r="B410" s="58" t="s">
        <v>382</v>
      </c>
      <c r="C410" s="9" t="s">
        <v>221</v>
      </c>
      <c r="D410" s="71">
        <v>12000000</v>
      </c>
      <c r="E410" s="9"/>
      <c r="F410" s="9"/>
      <c r="G410" s="62"/>
      <c r="H410" s="54">
        <v>6.5</v>
      </c>
      <c r="I410" s="34"/>
      <c r="J410" s="34"/>
      <c r="K410" s="34">
        <v>0</v>
      </c>
      <c r="L410" s="8">
        <f t="shared" ref="L410:L432" si="148">D410</f>
        <v>12000000</v>
      </c>
      <c r="M410" s="8">
        <v>12000000</v>
      </c>
      <c r="N410" s="8">
        <f t="shared" ref="N410:N473" si="149">M410-T410</f>
        <v>9600000</v>
      </c>
      <c r="O410" s="8"/>
      <c r="P410" s="61"/>
      <c r="Q410" s="8">
        <v>0</v>
      </c>
      <c r="R410" s="4">
        <v>0</v>
      </c>
      <c r="S410" s="143">
        <f t="shared" si="139"/>
        <v>7200000</v>
      </c>
      <c r="T410" s="4">
        <f t="shared" ref="T410:T445" si="150">U410</f>
        <v>2400000</v>
      </c>
      <c r="U410" s="4">
        <f t="shared" ref="U410:U445" si="151">M410/5</f>
        <v>2400000</v>
      </c>
      <c r="V410" s="34"/>
      <c r="W410" s="34"/>
      <c r="X410" s="4">
        <v>739397</v>
      </c>
      <c r="Y410" s="8">
        <v>7800000</v>
      </c>
      <c r="Z410" s="143">
        <f t="shared" si="143"/>
        <v>2400000</v>
      </c>
      <c r="AA410" s="4">
        <f t="shared" ref="AA410:AA445" si="152">M410*6.5/100</f>
        <v>780000</v>
      </c>
      <c r="AB410" s="8">
        <f t="shared" si="142"/>
        <v>624000</v>
      </c>
      <c r="AC410" s="4">
        <f t="shared" si="138"/>
        <v>468000</v>
      </c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</row>
    <row r="411" spans="1:61" s="95" customFormat="1" ht="27.6" customHeight="1" x14ac:dyDescent="0.2">
      <c r="A411" s="138">
        <v>400</v>
      </c>
      <c r="B411" s="58" t="s">
        <v>382</v>
      </c>
      <c r="C411" s="9" t="s">
        <v>221</v>
      </c>
      <c r="D411" s="71">
        <v>5540000</v>
      </c>
      <c r="E411" s="9"/>
      <c r="F411" s="9"/>
      <c r="G411" s="62"/>
      <c r="H411" s="54">
        <v>6.5</v>
      </c>
      <c r="I411" s="34"/>
      <c r="J411" s="34"/>
      <c r="K411" s="34">
        <v>0</v>
      </c>
      <c r="L411" s="8">
        <f t="shared" si="148"/>
        <v>5540000</v>
      </c>
      <c r="M411" s="8">
        <v>5540000</v>
      </c>
      <c r="N411" s="8">
        <f t="shared" si="149"/>
        <v>4432000</v>
      </c>
      <c r="O411" s="8"/>
      <c r="P411" s="61"/>
      <c r="Q411" s="8">
        <v>0</v>
      </c>
      <c r="R411" s="4">
        <v>0</v>
      </c>
      <c r="S411" s="143">
        <f t="shared" si="139"/>
        <v>3324000</v>
      </c>
      <c r="T411" s="4">
        <f t="shared" si="150"/>
        <v>1108000</v>
      </c>
      <c r="U411" s="4">
        <f t="shared" si="151"/>
        <v>1108000</v>
      </c>
      <c r="V411" s="34"/>
      <c r="W411" s="34"/>
      <c r="X411" s="4">
        <v>341355</v>
      </c>
      <c r="Y411" s="8">
        <v>360100</v>
      </c>
      <c r="Z411" s="143">
        <f t="shared" si="143"/>
        <v>1108000</v>
      </c>
      <c r="AA411" s="4">
        <f t="shared" si="152"/>
        <v>360100</v>
      </c>
      <c r="AB411" s="8">
        <f t="shared" si="142"/>
        <v>288080</v>
      </c>
      <c r="AC411" s="4">
        <f t="shared" si="138"/>
        <v>216060</v>
      </c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</row>
    <row r="412" spans="1:61" s="95" customFormat="1" ht="27.6" customHeight="1" x14ac:dyDescent="0.2">
      <c r="A412" s="9">
        <v>401</v>
      </c>
      <c r="B412" s="58" t="s">
        <v>370</v>
      </c>
      <c r="C412" s="9" t="s">
        <v>221</v>
      </c>
      <c r="D412" s="71">
        <v>7318000</v>
      </c>
      <c r="E412" s="9"/>
      <c r="F412" s="9"/>
      <c r="G412" s="62"/>
      <c r="H412" s="54">
        <v>6.5</v>
      </c>
      <c r="I412" s="34"/>
      <c r="J412" s="34"/>
      <c r="K412" s="34">
        <v>0</v>
      </c>
      <c r="L412" s="8">
        <f t="shared" si="148"/>
        <v>7318000</v>
      </c>
      <c r="M412" s="8">
        <f t="shared" ref="M412:M441" si="153">L412-R412</f>
        <v>7318000</v>
      </c>
      <c r="N412" s="8">
        <f t="shared" si="149"/>
        <v>5854400</v>
      </c>
      <c r="O412" s="8"/>
      <c r="P412" s="61"/>
      <c r="Q412" s="8">
        <v>0</v>
      </c>
      <c r="R412" s="4">
        <v>0</v>
      </c>
      <c r="S412" s="143">
        <f t="shared" si="139"/>
        <v>4390800</v>
      </c>
      <c r="T412" s="4">
        <f t="shared" si="150"/>
        <v>1463600</v>
      </c>
      <c r="U412" s="4">
        <f t="shared" si="151"/>
        <v>1463600</v>
      </c>
      <c r="V412" s="34"/>
      <c r="W412" s="34"/>
      <c r="X412" s="4">
        <v>440483</v>
      </c>
      <c r="Y412" s="8">
        <v>475670</v>
      </c>
      <c r="Z412" s="143">
        <f t="shared" si="143"/>
        <v>1463600</v>
      </c>
      <c r="AA412" s="4">
        <f t="shared" si="152"/>
        <v>475670</v>
      </c>
      <c r="AB412" s="8">
        <f t="shared" si="142"/>
        <v>380536</v>
      </c>
      <c r="AC412" s="4">
        <f t="shared" si="138"/>
        <v>285402</v>
      </c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</row>
    <row r="413" spans="1:61" s="95" customFormat="1" ht="27.6" customHeight="1" x14ac:dyDescent="0.2">
      <c r="A413" s="138">
        <v>402</v>
      </c>
      <c r="B413" s="58" t="s">
        <v>384</v>
      </c>
      <c r="C413" s="9" t="s">
        <v>221</v>
      </c>
      <c r="D413" s="71">
        <v>4623000</v>
      </c>
      <c r="E413" s="9"/>
      <c r="F413" s="9"/>
      <c r="G413" s="62"/>
      <c r="H413" s="54">
        <v>6.5</v>
      </c>
      <c r="I413" s="34"/>
      <c r="J413" s="34"/>
      <c r="K413" s="34">
        <v>0</v>
      </c>
      <c r="L413" s="8">
        <f t="shared" si="148"/>
        <v>4623000</v>
      </c>
      <c r="M413" s="8">
        <f t="shared" si="153"/>
        <v>4623000</v>
      </c>
      <c r="N413" s="8">
        <f t="shared" si="149"/>
        <v>3698400</v>
      </c>
      <c r="O413" s="8"/>
      <c r="P413" s="61"/>
      <c r="Q413" s="8">
        <v>0</v>
      </c>
      <c r="R413" s="4">
        <v>0</v>
      </c>
      <c r="S413" s="143">
        <f t="shared" si="139"/>
        <v>2773800</v>
      </c>
      <c r="T413" s="4">
        <f t="shared" si="150"/>
        <v>924600</v>
      </c>
      <c r="U413" s="4">
        <f t="shared" si="151"/>
        <v>924600</v>
      </c>
      <c r="V413" s="34"/>
      <c r="W413" s="34"/>
      <c r="X413" s="4">
        <v>261801</v>
      </c>
      <c r="Y413" s="8">
        <v>300495</v>
      </c>
      <c r="Z413" s="143">
        <f t="shared" si="143"/>
        <v>924600</v>
      </c>
      <c r="AA413" s="4">
        <f t="shared" si="152"/>
        <v>300495</v>
      </c>
      <c r="AB413" s="8">
        <f t="shared" si="142"/>
        <v>240396</v>
      </c>
      <c r="AC413" s="4">
        <f t="shared" si="138"/>
        <v>180297</v>
      </c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</row>
    <row r="414" spans="1:61" s="95" customFormat="1" ht="27.6" customHeight="1" x14ac:dyDescent="0.2">
      <c r="A414" s="9">
        <v>403</v>
      </c>
      <c r="B414" s="58" t="s">
        <v>386</v>
      </c>
      <c r="C414" s="9" t="s">
        <v>221</v>
      </c>
      <c r="D414" s="71">
        <v>2188000</v>
      </c>
      <c r="E414" s="9"/>
      <c r="F414" s="9"/>
      <c r="G414" s="62"/>
      <c r="H414" s="54">
        <v>6.5</v>
      </c>
      <c r="I414" s="34"/>
      <c r="J414" s="34"/>
      <c r="K414" s="34">
        <v>0</v>
      </c>
      <c r="L414" s="8">
        <f t="shared" si="148"/>
        <v>2188000</v>
      </c>
      <c r="M414" s="8">
        <f t="shared" si="153"/>
        <v>2188000</v>
      </c>
      <c r="N414" s="8">
        <f t="shared" si="149"/>
        <v>1750400</v>
      </c>
      <c r="O414" s="8"/>
      <c r="P414" s="61"/>
      <c r="Q414" s="8">
        <v>0</v>
      </c>
      <c r="R414" s="4">
        <v>0</v>
      </c>
      <c r="S414" s="143">
        <f t="shared" si="139"/>
        <v>1312800</v>
      </c>
      <c r="T414" s="4">
        <f t="shared" si="150"/>
        <v>437600</v>
      </c>
      <c r="U414" s="4">
        <f t="shared" si="151"/>
        <v>437600</v>
      </c>
      <c r="V414" s="34"/>
      <c r="W414" s="34"/>
      <c r="X414" s="4">
        <v>112217</v>
      </c>
      <c r="Y414" s="8">
        <v>142220</v>
      </c>
      <c r="Z414" s="143">
        <f t="shared" si="143"/>
        <v>437600</v>
      </c>
      <c r="AA414" s="4">
        <f t="shared" si="152"/>
        <v>142220</v>
      </c>
      <c r="AB414" s="8">
        <f t="shared" si="142"/>
        <v>113776</v>
      </c>
      <c r="AC414" s="4">
        <f t="shared" si="138"/>
        <v>85332</v>
      </c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</row>
    <row r="415" spans="1:61" s="95" customFormat="1" ht="27.6" customHeight="1" x14ac:dyDescent="0.2">
      <c r="A415" s="138">
        <v>404</v>
      </c>
      <c r="B415" s="58" t="s">
        <v>389</v>
      </c>
      <c r="C415" s="9" t="s">
        <v>221</v>
      </c>
      <c r="D415" s="71">
        <v>35045000</v>
      </c>
      <c r="E415" s="9"/>
      <c r="F415" s="9"/>
      <c r="G415" s="62"/>
      <c r="H415" s="54">
        <v>6.5</v>
      </c>
      <c r="I415" s="34"/>
      <c r="J415" s="34"/>
      <c r="K415" s="34">
        <v>0</v>
      </c>
      <c r="L415" s="8">
        <f t="shared" si="148"/>
        <v>35045000</v>
      </c>
      <c r="M415" s="8">
        <f t="shared" si="153"/>
        <v>35045000</v>
      </c>
      <c r="N415" s="8">
        <f t="shared" si="149"/>
        <v>28036000</v>
      </c>
      <c r="O415" s="8"/>
      <c r="P415" s="61"/>
      <c r="Q415" s="8">
        <v>0</v>
      </c>
      <c r="R415" s="4">
        <v>0</v>
      </c>
      <c r="S415" s="143">
        <f t="shared" si="139"/>
        <v>21027000</v>
      </c>
      <c r="T415" s="4">
        <f t="shared" si="150"/>
        <v>7009000</v>
      </c>
      <c r="U415" s="4">
        <f t="shared" si="151"/>
        <v>7009000</v>
      </c>
      <c r="V415" s="34"/>
      <c r="W415" s="34"/>
      <c r="X415" s="4">
        <v>1547741</v>
      </c>
      <c r="Y415" s="8">
        <v>2277925</v>
      </c>
      <c r="Z415" s="143">
        <f t="shared" si="143"/>
        <v>7009000</v>
      </c>
      <c r="AA415" s="4">
        <f t="shared" si="152"/>
        <v>2277925</v>
      </c>
      <c r="AB415" s="8">
        <f t="shared" si="142"/>
        <v>1822340</v>
      </c>
      <c r="AC415" s="4">
        <f t="shared" si="138"/>
        <v>1366755</v>
      </c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</row>
    <row r="416" spans="1:61" s="95" customFormat="1" ht="27.6" customHeight="1" x14ac:dyDescent="0.2">
      <c r="A416" s="9">
        <v>405</v>
      </c>
      <c r="B416" s="58" t="s">
        <v>390</v>
      </c>
      <c r="C416" s="9" t="s">
        <v>221</v>
      </c>
      <c r="D416" s="71">
        <v>30990000</v>
      </c>
      <c r="E416" s="9"/>
      <c r="F416" s="9"/>
      <c r="G416" s="62"/>
      <c r="H416" s="54">
        <v>6.5</v>
      </c>
      <c r="I416" s="34"/>
      <c r="J416" s="34"/>
      <c r="K416" s="34">
        <v>0</v>
      </c>
      <c r="L416" s="8">
        <f t="shared" si="148"/>
        <v>30990000</v>
      </c>
      <c r="M416" s="8">
        <f t="shared" si="153"/>
        <v>30990000</v>
      </c>
      <c r="N416" s="8">
        <f t="shared" si="149"/>
        <v>24792000</v>
      </c>
      <c r="O416" s="8"/>
      <c r="P416" s="61"/>
      <c r="Q416" s="8">
        <v>0</v>
      </c>
      <c r="R416" s="4">
        <v>0</v>
      </c>
      <c r="S416" s="143">
        <f t="shared" si="139"/>
        <v>18594000</v>
      </c>
      <c r="T416" s="4">
        <f t="shared" si="150"/>
        <v>6198000</v>
      </c>
      <c r="U416" s="4">
        <f t="shared" si="151"/>
        <v>6198000</v>
      </c>
      <c r="V416" s="34"/>
      <c r="W416" s="34"/>
      <c r="X416" s="4">
        <v>1357617</v>
      </c>
      <c r="Y416" s="8">
        <v>2014350</v>
      </c>
      <c r="Z416" s="143">
        <f t="shared" si="143"/>
        <v>6198000</v>
      </c>
      <c r="AA416" s="4">
        <f t="shared" si="152"/>
        <v>2014350</v>
      </c>
      <c r="AB416" s="8">
        <f t="shared" si="142"/>
        <v>1611480</v>
      </c>
      <c r="AC416" s="4">
        <f t="shared" si="138"/>
        <v>1208610</v>
      </c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</row>
    <row r="417" spans="1:61" s="95" customFormat="1" ht="27.6" customHeight="1" x14ac:dyDescent="0.2">
      <c r="A417" s="138">
        <v>406</v>
      </c>
      <c r="B417" s="58" t="s">
        <v>391</v>
      </c>
      <c r="C417" s="9" t="s">
        <v>221</v>
      </c>
      <c r="D417" s="71">
        <v>5951000</v>
      </c>
      <c r="E417" s="9"/>
      <c r="F417" s="9"/>
      <c r="G417" s="62"/>
      <c r="H417" s="54">
        <v>6.5</v>
      </c>
      <c r="I417" s="34"/>
      <c r="J417" s="34"/>
      <c r="K417" s="34">
        <v>0</v>
      </c>
      <c r="L417" s="8">
        <f t="shared" si="148"/>
        <v>5951000</v>
      </c>
      <c r="M417" s="8">
        <f t="shared" si="153"/>
        <v>5951000</v>
      </c>
      <c r="N417" s="8">
        <f t="shared" si="149"/>
        <v>4760800</v>
      </c>
      <c r="O417" s="8"/>
      <c r="P417" s="61"/>
      <c r="Q417" s="8">
        <v>0</v>
      </c>
      <c r="R417" s="4">
        <v>0</v>
      </c>
      <c r="S417" s="143">
        <f t="shared" si="139"/>
        <v>3570600</v>
      </c>
      <c r="T417" s="4">
        <f t="shared" si="150"/>
        <v>1190200</v>
      </c>
      <c r="U417" s="4">
        <f t="shared" si="151"/>
        <v>1190200</v>
      </c>
      <c r="V417" s="34"/>
      <c r="W417" s="34"/>
      <c r="X417" s="4">
        <v>253284</v>
      </c>
      <c r="Y417" s="8">
        <v>386815</v>
      </c>
      <c r="Z417" s="143">
        <f t="shared" si="143"/>
        <v>1190200</v>
      </c>
      <c r="AA417" s="4">
        <f t="shared" si="152"/>
        <v>386815</v>
      </c>
      <c r="AB417" s="8">
        <f t="shared" si="142"/>
        <v>309452</v>
      </c>
      <c r="AC417" s="4">
        <f t="shared" si="138"/>
        <v>232089</v>
      </c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</row>
    <row r="418" spans="1:61" s="95" customFormat="1" ht="27.6" customHeight="1" x14ac:dyDescent="0.2">
      <c r="A418" s="9">
        <v>407</v>
      </c>
      <c r="B418" s="58" t="s">
        <v>395</v>
      </c>
      <c r="C418" s="9" t="s">
        <v>221</v>
      </c>
      <c r="D418" s="71">
        <v>8265000</v>
      </c>
      <c r="E418" s="9"/>
      <c r="F418" s="9"/>
      <c r="G418" s="62"/>
      <c r="H418" s="54">
        <v>6.5</v>
      </c>
      <c r="I418" s="34"/>
      <c r="J418" s="34"/>
      <c r="K418" s="34">
        <v>0</v>
      </c>
      <c r="L418" s="8">
        <f t="shared" si="148"/>
        <v>8265000</v>
      </c>
      <c r="M418" s="8">
        <f t="shared" si="153"/>
        <v>8265000</v>
      </c>
      <c r="N418" s="8">
        <f t="shared" si="149"/>
        <v>6612000</v>
      </c>
      <c r="O418" s="8"/>
      <c r="P418" s="61"/>
      <c r="Q418" s="8">
        <v>0</v>
      </c>
      <c r="R418" s="4">
        <v>0</v>
      </c>
      <c r="S418" s="143">
        <f t="shared" si="139"/>
        <v>4959000</v>
      </c>
      <c r="T418" s="4">
        <f t="shared" si="150"/>
        <v>1653000</v>
      </c>
      <c r="U418" s="4">
        <f t="shared" si="151"/>
        <v>1653000</v>
      </c>
      <c r="V418" s="34"/>
      <c r="W418" s="34"/>
      <c r="X418" s="4">
        <v>332638</v>
      </c>
      <c r="Y418" s="8">
        <v>537225</v>
      </c>
      <c r="Z418" s="143">
        <f t="shared" si="143"/>
        <v>1653000</v>
      </c>
      <c r="AA418" s="4">
        <f t="shared" si="152"/>
        <v>537225</v>
      </c>
      <c r="AB418" s="8">
        <f t="shared" si="142"/>
        <v>429780</v>
      </c>
      <c r="AC418" s="4">
        <f t="shared" si="138"/>
        <v>322335</v>
      </c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</row>
    <row r="419" spans="1:61" s="95" customFormat="1" ht="27.6" customHeight="1" x14ac:dyDescent="0.2">
      <c r="A419" s="138">
        <v>408</v>
      </c>
      <c r="B419" s="58" t="s">
        <v>397</v>
      </c>
      <c r="C419" s="9" t="s">
        <v>221</v>
      </c>
      <c r="D419" s="71">
        <v>4169000</v>
      </c>
      <c r="E419" s="9"/>
      <c r="F419" s="9"/>
      <c r="G419" s="62"/>
      <c r="H419" s="54">
        <v>6.5</v>
      </c>
      <c r="I419" s="34"/>
      <c r="J419" s="34"/>
      <c r="K419" s="34">
        <v>0</v>
      </c>
      <c r="L419" s="8">
        <f t="shared" si="148"/>
        <v>4169000</v>
      </c>
      <c r="M419" s="8">
        <f t="shared" si="153"/>
        <v>4169000</v>
      </c>
      <c r="N419" s="8">
        <f t="shared" si="149"/>
        <v>3335200</v>
      </c>
      <c r="O419" s="8"/>
      <c r="P419" s="61"/>
      <c r="Q419" s="8">
        <v>0</v>
      </c>
      <c r="R419" s="4">
        <v>0</v>
      </c>
      <c r="S419" s="143">
        <f t="shared" si="139"/>
        <v>2501400</v>
      </c>
      <c r="T419" s="4">
        <f t="shared" si="150"/>
        <v>833800</v>
      </c>
      <c r="U419" s="4">
        <f t="shared" si="151"/>
        <v>833800</v>
      </c>
      <c r="V419" s="34"/>
      <c r="W419" s="34"/>
      <c r="X419" s="4">
        <v>161849</v>
      </c>
      <c r="Y419" s="8">
        <v>270985</v>
      </c>
      <c r="Z419" s="143">
        <f t="shared" si="143"/>
        <v>833800</v>
      </c>
      <c r="AA419" s="4">
        <f t="shared" si="152"/>
        <v>270985</v>
      </c>
      <c r="AB419" s="8">
        <f t="shared" si="142"/>
        <v>216788</v>
      </c>
      <c r="AC419" s="4">
        <f t="shared" si="138"/>
        <v>162591</v>
      </c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</row>
    <row r="420" spans="1:61" s="95" customFormat="1" ht="27.6" customHeight="1" x14ac:dyDescent="0.2">
      <c r="A420" s="9">
        <v>409</v>
      </c>
      <c r="B420" s="58" t="s">
        <v>398</v>
      </c>
      <c r="C420" s="9" t="s">
        <v>221</v>
      </c>
      <c r="D420" s="71">
        <v>4692000</v>
      </c>
      <c r="E420" s="9"/>
      <c r="F420" s="9"/>
      <c r="G420" s="62"/>
      <c r="H420" s="54">
        <v>6.5</v>
      </c>
      <c r="I420" s="34"/>
      <c r="J420" s="34"/>
      <c r="K420" s="34">
        <v>0</v>
      </c>
      <c r="L420" s="8">
        <f t="shared" si="148"/>
        <v>4692000</v>
      </c>
      <c r="M420" s="8">
        <f t="shared" si="153"/>
        <v>4692000</v>
      </c>
      <c r="N420" s="8">
        <f t="shared" si="149"/>
        <v>3753600</v>
      </c>
      <c r="O420" s="8"/>
      <c r="P420" s="61"/>
      <c r="Q420" s="8">
        <v>0</v>
      </c>
      <c r="R420" s="4">
        <v>0</v>
      </c>
      <c r="S420" s="143">
        <f t="shared" si="139"/>
        <v>2815200</v>
      </c>
      <c r="T420" s="4">
        <f t="shared" si="150"/>
        <v>938400</v>
      </c>
      <c r="U420" s="4">
        <f t="shared" si="151"/>
        <v>938400</v>
      </c>
      <c r="V420" s="34"/>
      <c r="W420" s="34"/>
      <c r="X420" s="4">
        <v>153743</v>
      </c>
      <c r="Y420" s="8">
        <v>304980</v>
      </c>
      <c r="Z420" s="143">
        <f t="shared" si="143"/>
        <v>938400</v>
      </c>
      <c r="AA420" s="4">
        <f t="shared" si="152"/>
        <v>304980</v>
      </c>
      <c r="AB420" s="8">
        <f t="shared" si="142"/>
        <v>243984</v>
      </c>
      <c r="AC420" s="4">
        <f t="shared" si="138"/>
        <v>182988</v>
      </c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</row>
    <row r="421" spans="1:61" s="95" customFormat="1" ht="27.6" customHeight="1" x14ac:dyDescent="0.2">
      <c r="A421" s="138">
        <v>410</v>
      </c>
      <c r="B421" s="58" t="s">
        <v>400</v>
      </c>
      <c r="C421" s="9" t="s">
        <v>221</v>
      </c>
      <c r="D421" s="71">
        <v>14021000</v>
      </c>
      <c r="E421" s="9"/>
      <c r="F421" s="9"/>
      <c r="G421" s="62"/>
      <c r="H421" s="54">
        <v>6.5</v>
      </c>
      <c r="I421" s="34"/>
      <c r="J421" s="34"/>
      <c r="K421" s="34">
        <v>0</v>
      </c>
      <c r="L421" s="8">
        <f t="shared" si="148"/>
        <v>14021000</v>
      </c>
      <c r="M421" s="8">
        <f t="shared" si="153"/>
        <v>14021000</v>
      </c>
      <c r="N421" s="8">
        <f t="shared" si="149"/>
        <v>11216800</v>
      </c>
      <c r="O421" s="8"/>
      <c r="P421" s="61"/>
      <c r="Q421" s="8">
        <v>0</v>
      </c>
      <c r="R421" s="4">
        <v>0</v>
      </c>
      <c r="S421" s="143">
        <f t="shared" si="139"/>
        <v>8412600</v>
      </c>
      <c r="T421" s="4">
        <f t="shared" si="150"/>
        <v>2804200</v>
      </c>
      <c r="U421" s="4">
        <f t="shared" si="151"/>
        <v>2804200</v>
      </c>
      <c r="V421" s="34"/>
      <c r="W421" s="34"/>
      <c r="X421" s="4">
        <v>374534</v>
      </c>
      <c r="Y421" s="8">
        <v>911365</v>
      </c>
      <c r="Z421" s="143">
        <f t="shared" si="143"/>
        <v>2804200</v>
      </c>
      <c r="AA421" s="4">
        <f t="shared" si="152"/>
        <v>911365</v>
      </c>
      <c r="AB421" s="8">
        <f t="shared" si="142"/>
        <v>729092</v>
      </c>
      <c r="AC421" s="4">
        <f t="shared" si="138"/>
        <v>546819</v>
      </c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</row>
    <row r="422" spans="1:61" s="95" customFormat="1" ht="27.6" customHeight="1" x14ac:dyDescent="0.2">
      <c r="A422" s="9">
        <v>411</v>
      </c>
      <c r="B422" s="58" t="s">
        <v>401</v>
      </c>
      <c r="C422" s="9" t="s">
        <v>221</v>
      </c>
      <c r="D422" s="71">
        <v>10724000</v>
      </c>
      <c r="E422" s="9"/>
      <c r="F422" s="9"/>
      <c r="G422" s="62"/>
      <c r="H422" s="54">
        <v>6.5</v>
      </c>
      <c r="I422" s="34"/>
      <c r="J422" s="34"/>
      <c r="K422" s="34">
        <v>0</v>
      </c>
      <c r="L422" s="8">
        <f t="shared" si="148"/>
        <v>10724000</v>
      </c>
      <c r="M422" s="8">
        <f t="shared" si="153"/>
        <v>10724000</v>
      </c>
      <c r="N422" s="8">
        <f t="shared" si="149"/>
        <v>8579200</v>
      </c>
      <c r="O422" s="8"/>
      <c r="P422" s="61"/>
      <c r="Q422" s="8">
        <v>0</v>
      </c>
      <c r="R422" s="4">
        <v>0</v>
      </c>
      <c r="S422" s="143">
        <f t="shared" si="139"/>
        <v>6434400</v>
      </c>
      <c r="T422" s="4">
        <f t="shared" si="150"/>
        <v>2144800</v>
      </c>
      <c r="U422" s="4">
        <f t="shared" si="151"/>
        <v>2144800</v>
      </c>
      <c r="V422" s="34"/>
      <c r="W422" s="34"/>
      <c r="X422" s="4">
        <v>282644</v>
      </c>
      <c r="Y422" s="8">
        <v>697060</v>
      </c>
      <c r="Z422" s="143">
        <f t="shared" si="143"/>
        <v>2144800</v>
      </c>
      <c r="AA422" s="4">
        <f t="shared" si="152"/>
        <v>697060</v>
      </c>
      <c r="AB422" s="8">
        <f t="shared" si="142"/>
        <v>557648</v>
      </c>
      <c r="AC422" s="4">
        <f t="shared" si="138"/>
        <v>418236</v>
      </c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</row>
    <row r="423" spans="1:61" s="95" customFormat="1" ht="27.6" customHeight="1" x14ac:dyDescent="0.2">
      <c r="A423" s="138">
        <v>412</v>
      </c>
      <c r="B423" s="58" t="s">
        <v>401</v>
      </c>
      <c r="C423" s="9" t="s">
        <v>221</v>
      </c>
      <c r="D423" s="71">
        <v>38365000</v>
      </c>
      <c r="E423" s="9"/>
      <c r="F423" s="9"/>
      <c r="G423" s="62"/>
      <c r="H423" s="54">
        <v>6.5</v>
      </c>
      <c r="I423" s="34"/>
      <c r="J423" s="34"/>
      <c r="K423" s="34">
        <v>0</v>
      </c>
      <c r="L423" s="8">
        <f t="shared" si="148"/>
        <v>38365000</v>
      </c>
      <c r="M423" s="8">
        <f t="shared" si="153"/>
        <v>38365000</v>
      </c>
      <c r="N423" s="8">
        <f t="shared" si="149"/>
        <v>30692000</v>
      </c>
      <c r="O423" s="8"/>
      <c r="P423" s="61"/>
      <c r="Q423" s="8">
        <v>0</v>
      </c>
      <c r="R423" s="4">
        <v>0</v>
      </c>
      <c r="S423" s="143">
        <f t="shared" si="139"/>
        <v>23019000</v>
      </c>
      <c r="T423" s="4">
        <f t="shared" si="150"/>
        <v>7673000</v>
      </c>
      <c r="U423" s="4">
        <f t="shared" si="151"/>
        <v>7673000</v>
      </c>
      <c r="V423" s="34"/>
      <c r="W423" s="34"/>
      <c r="X423" s="4">
        <v>1011154</v>
      </c>
      <c r="Y423" s="8">
        <v>2493725</v>
      </c>
      <c r="Z423" s="143">
        <f t="shared" si="143"/>
        <v>7673000</v>
      </c>
      <c r="AA423" s="4">
        <f t="shared" si="152"/>
        <v>2493725</v>
      </c>
      <c r="AB423" s="8">
        <f t="shared" si="142"/>
        <v>1994980</v>
      </c>
      <c r="AC423" s="4">
        <f t="shared" si="138"/>
        <v>1496235</v>
      </c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</row>
    <row r="424" spans="1:61" s="95" customFormat="1" ht="27.6" customHeight="1" x14ac:dyDescent="0.2">
      <c r="A424" s="9">
        <v>413</v>
      </c>
      <c r="B424" s="58" t="s">
        <v>402</v>
      </c>
      <c r="C424" s="9" t="s">
        <v>221</v>
      </c>
      <c r="D424" s="71">
        <v>7401000</v>
      </c>
      <c r="E424" s="9"/>
      <c r="F424" s="9"/>
      <c r="G424" s="62"/>
      <c r="H424" s="54">
        <v>6.5</v>
      </c>
      <c r="I424" s="34"/>
      <c r="J424" s="34"/>
      <c r="K424" s="34">
        <v>0</v>
      </c>
      <c r="L424" s="8">
        <f t="shared" si="148"/>
        <v>7401000</v>
      </c>
      <c r="M424" s="8">
        <f t="shared" si="153"/>
        <v>7401000</v>
      </c>
      <c r="N424" s="8">
        <f t="shared" si="149"/>
        <v>5920800</v>
      </c>
      <c r="O424" s="8"/>
      <c r="P424" s="61"/>
      <c r="Q424" s="8">
        <v>0</v>
      </c>
      <c r="R424" s="4">
        <v>0</v>
      </c>
      <c r="S424" s="143">
        <f t="shared" si="139"/>
        <v>4440600</v>
      </c>
      <c r="T424" s="4">
        <f t="shared" si="150"/>
        <v>1480200</v>
      </c>
      <c r="U424" s="4">
        <f t="shared" si="151"/>
        <v>1480200</v>
      </c>
      <c r="V424" s="34"/>
      <c r="W424" s="34"/>
      <c r="X424" s="4">
        <v>170020</v>
      </c>
      <c r="Y424" s="8">
        <v>481065</v>
      </c>
      <c r="Z424" s="143">
        <f t="shared" si="143"/>
        <v>1480200</v>
      </c>
      <c r="AA424" s="4">
        <f t="shared" si="152"/>
        <v>481065</v>
      </c>
      <c r="AB424" s="8">
        <f t="shared" si="142"/>
        <v>384852</v>
      </c>
      <c r="AC424" s="4">
        <f t="shared" si="138"/>
        <v>288639</v>
      </c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</row>
    <row r="425" spans="1:61" s="95" customFormat="1" ht="27.6" customHeight="1" x14ac:dyDescent="0.2">
      <c r="A425" s="138">
        <v>414</v>
      </c>
      <c r="B425" s="58" t="s">
        <v>404</v>
      </c>
      <c r="C425" s="9" t="s">
        <v>221</v>
      </c>
      <c r="D425" s="71">
        <v>33527000</v>
      </c>
      <c r="E425" s="9"/>
      <c r="F425" s="9"/>
      <c r="G425" s="62"/>
      <c r="H425" s="54">
        <v>6.5</v>
      </c>
      <c r="I425" s="34"/>
      <c r="J425" s="34"/>
      <c r="K425" s="34">
        <v>0</v>
      </c>
      <c r="L425" s="8">
        <f t="shared" si="148"/>
        <v>33527000</v>
      </c>
      <c r="M425" s="8">
        <f t="shared" si="153"/>
        <v>33527000</v>
      </c>
      <c r="N425" s="8">
        <f t="shared" si="149"/>
        <v>26821600</v>
      </c>
      <c r="O425" s="8"/>
      <c r="P425" s="61"/>
      <c r="Q425" s="8">
        <v>0</v>
      </c>
      <c r="R425" s="4">
        <v>0</v>
      </c>
      <c r="S425" s="143">
        <f t="shared" si="139"/>
        <v>20116200</v>
      </c>
      <c r="T425" s="4">
        <f t="shared" si="150"/>
        <v>6705400</v>
      </c>
      <c r="U425" s="4">
        <f t="shared" si="151"/>
        <v>6705400</v>
      </c>
      <c r="V425" s="34"/>
      <c r="W425" s="34"/>
      <c r="X425" s="4">
        <v>686615</v>
      </c>
      <c r="Y425" s="8">
        <v>2179255</v>
      </c>
      <c r="Z425" s="143">
        <f t="shared" si="143"/>
        <v>6705400</v>
      </c>
      <c r="AA425" s="4">
        <f t="shared" si="152"/>
        <v>2179255</v>
      </c>
      <c r="AB425" s="8">
        <f t="shared" si="142"/>
        <v>1743404</v>
      </c>
      <c r="AC425" s="4">
        <f t="shared" si="138"/>
        <v>1307553</v>
      </c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</row>
    <row r="426" spans="1:61" s="95" customFormat="1" ht="27.6" customHeight="1" x14ac:dyDescent="0.2">
      <c r="A426" s="9">
        <v>415</v>
      </c>
      <c r="B426" s="58" t="s">
        <v>404</v>
      </c>
      <c r="C426" s="9" t="s">
        <v>221</v>
      </c>
      <c r="D426" s="71">
        <v>38571000</v>
      </c>
      <c r="E426" s="9"/>
      <c r="F426" s="9"/>
      <c r="G426" s="62"/>
      <c r="H426" s="54">
        <v>6.5</v>
      </c>
      <c r="I426" s="34"/>
      <c r="J426" s="34"/>
      <c r="K426" s="34">
        <v>0</v>
      </c>
      <c r="L426" s="8">
        <f t="shared" si="148"/>
        <v>38571000</v>
      </c>
      <c r="M426" s="8">
        <f t="shared" si="153"/>
        <v>38571000</v>
      </c>
      <c r="N426" s="8">
        <f t="shared" si="149"/>
        <v>30856800</v>
      </c>
      <c r="O426" s="8"/>
      <c r="P426" s="61"/>
      <c r="Q426" s="8">
        <v>0</v>
      </c>
      <c r="R426" s="4">
        <v>0</v>
      </c>
      <c r="S426" s="143">
        <f t="shared" si="139"/>
        <v>23142600</v>
      </c>
      <c r="T426" s="4">
        <f t="shared" si="150"/>
        <v>7714200</v>
      </c>
      <c r="U426" s="4">
        <f t="shared" si="151"/>
        <v>7714200</v>
      </c>
      <c r="V426" s="34"/>
      <c r="W426" s="34"/>
      <c r="X426" s="4">
        <v>789913</v>
      </c>
      <c r="Y426" s="8">
        <v>2507115</v>
      </c>
      <c r="Z426" s="143">
        <f t="shared" si="143"/>
        <v>7714200</v>
      </c>
      <c r="AA426" s="4">
        <f t="shared" si="152"/>
        <v>2507115</v>
      </c>
      <c r="AB426" s="8">
        <f t="shared" si="142"/>
        <v>2005692</v>
      </c>
      <c r="AC426" s="4">
        <f t="shared" si="138"/>
        <v>1504269</v>
      </c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</row>
    <row r="427" spans="1:61" s="95" customFormat="1" ht="27.6" customHeight="1" x14ac:dyDescent="0.2">
      <c r="A427" s="138">
        <v>416</v>
      </c>
      <c r="B427" s="58" t="s">
        <v>408</v>
      </c>
      <c r="C427" s="9" t="s">
        <v>221</v>
      </c>
      <c r="D427" s="71">
        <v>6418000</v>
      </c>
      <c r="E427" s="9"/>
      <c r="F427" s="9"/>
      <c r="G427" s="62"/>
      <c r="H427" s="54">
        <v>6.5</v>
      </c>
      <c r="I427" s="34"/>
      <c r="J427" s="34"/>
      <c r="K427" s="34">
        <v>0</v>
      </c>
      <c r="L427" s="8">
        <f t="shared" si="148"/>
        <v>6418000</v>
      </c>
      <c r="M427" s="8">
        <f t="shared" si="153"/>
        <v>6418000</v>
      </c>
      <c r="N427" s="8">
        <f t="shared" si="149"/>
        <v>5134400</v>
      </c>
      <c r="O427" s="8"/>
      <c r="P427" s="61"/>
      <c r="Q427" s="8">
        <v>0</v>
      </c>
      <c r="R427" s="4">
        <v>0</v>
      </c>
      <c r="S427" s="143">
        <f t="shared" si="139"/>
        <v>3850800</v>
      </c>
      <c r="T427" s="4">
        <f t="shared" si="150"/>
        <v>1283600</v>
      </c>
      <c r="U427" s="4">
        <f t="shared" si="151"/>
        <v>1283600</v>
      </c>
      <c r="V427" s="34"/>
      <c r="W427" s="34"/>
      <c r="X427" s="4">
        <v>97149</v>
      </c>
      <c r="Y427" s="8">
        <v>417170</v>
      </c>
      <c r="Z427" s="143">
        <f t="shared" si="143"/>
        <v>1283600</v>
      </c>
      <c r="AA427" s="4">
        <f t="shared" si="152"/>
        <v>417170</v>
      </c>
      <c r="AB427" s="8">
        <f t="shared" si="142"/>
        <v>333736</v>
      </c>
      <c r="AC427" s="4">
        <f t="shared" si="138"/>
        <v>250302</v>
      </c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</row>
    <row r="428" spans="1:61" s="95" customFormat="1" ht="27.6" customHeight="1" x14ac:dyDescent="0.2">
      <c r="A428" s="9">
        <v>417</v>
      </c>
      <c r="B428" s="58" t="s">
        <v>411</v>
      </c>
      <c r="C428" s="9" t="s">
        <v>221</v>
      </c>
      <c r="D428" s="71">
        <v>30182000</v>
      </c>
      <c r="E428" s="9"/>
      <c r="F428" s="9"/>
      <c r="G428" s="62"/>
      <c r="H428" s="54">
        <v>6.5</v>
      </c>
      <c r="I428" s="34"/>
      <c r="J428" s="34"/>
      <c r="K428" s="34">
        <v>0</v>
      </c>
      <c r="L428" s="8">
        <f t="shared" si="148"/>
        <v>30182000</v>
      </c>
      <c r="M428" s="8">
        <f t="shared" si="153"/>
        <v>30182000</v>
      </c>
      <c r="N428" s="8">
        <f t="shared" si="149"/>
        <v>24145600</v>
      </c>
      <c r="O428" s="8"/>
      <c r="P428" s="61"/>
      <c r="Q428" s="8">
        <v>0</v>
      </c>
      <c r="R428" s="4">
        <v>0</v>
      </c>
      <c r="S428" s="143">
        <f t="shared" si="139"/>
        <v>18109200</v>
      </c>
      <c r="T428" s="4">
        <f t="shared" si="150"/>
        <v>6036400</v>
      </c>
      <c r="U428" s="4">
        <f t="shared" si="151"/>
        <v>6036400</v>
      </c>
      <c r="V428" s="34"/>
      <c r="W428" s="34"/>
      <c r="X428" s="4">
        <v>419240</v>
      </c>
      <c r="Y428" s="8">
        <v>1961830</v>
      </c>
      <c r="Z428" s="143">
        <f t="shared" si="143"/>
        <v>6036400</v>
      </c>
      <c r="AA428" s="4">
        <f t="shared" si="152"/>
        <v>1961830</v>
      </c>
      <c r="AB428" s="8">
        <f t="shared" si="142"/>
        <v>1569464</v>
      </c>
      <c r="AC428" s="4">
        <f t="shared" si="138"/>
        <v>1177098</v>
      </c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</row>
    <row r="429" spans="1:61" s="95" customFormat="1" ht="27.6" customHeight="1" x14ac:dyDescent="0.2">
      <c r="A429" s="138">
        <v>418</v>
      </c>
      <c r="B429" s="58" t="s">
        <v>412</v>
      </c>
      <c r="C429" s="9" t="s">
        <v>221</v>
      </c>
      <c r="D429" s="71">
        <v>16252000</v>
      </c>
      <c r="E429" s="9"/>
      <c r="F429" s="9"/>
      <c r="G429" s="62"/>
      <c r="H429" s="54">
        <v>6.5</v>
      </c>
      <c r="I429" s="34"/>
      <c r="J429" s="34"/>
      <c r="K429" s="34">
        <v>0</v>
      </c>
      <c r="L429" s="8">
        <f t="shared" si="148"/>
        <v>16252000</v>
      </c>
      <c r="M429" s="8">
        <f t="shared" si="153"/>
        <v>16252000</v>
      </c>
      <c r="N429" s="8">
        <f t="shared" si="149"/>
        <v>13001600</v>
      </c>
      <c r="O429" s="8"/>
      <c r="P429" s="61"/>
      <c r="Q429" s="8">
        <v>0</v>
      </c>
      <c r="R429" s="4">
        <v>0</v>
      </c>
      <c r="S429" s="143">
        <f t="shared" si="139"/>
        <v>9751200</v>
      </c>
      <c r="T429" s="4">
        <f t="shared" si="150"/>
        <v>3250400</v>
      </c>
      <c r="U429" s="4">
        <f t="shared" si="151"/>
        <v>3250400</v>
      </c>
      <c r="V429" s="34"/>
      <c r="W429" s="34"/>
      <c r="X429" s="4">
        <v>211276</v>
      </c>
      <c r="Y429" s="8">
        <v>1056380</v>
      </c>
      <c r="Z429" s="143">
        <f t="shared" si="143"/>
        <v>3250400</v>
      </c>
      <c r="AA429" s="4">
        <f t="shared" si="152"/>
        <v>1056380</v>
      </c>
      <c r="AB429" s="8">
        <f t="shared" si="142"/>
        <v>845104</v>
      </c>
      <c r="AC429" s="4">
        <f t="shared" ref="AC429:AC492" si="154">S429*H429%</f>
        <v>633828</v>
      </c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</row>
    <row r="430" spans="1:61" s="95" customFormat="1" ht="27.6" customHeight="1" x14ac:dyDescent="0.2">
      <c r="A430" s="9">
        <v>419</v>
      </c>
      <c r="B430" s="58" t="s">
        <v>412</v>
      </c>
      <c r="C430" s="9" t="s">
        <v>221</v>
      </c>
      <c r="D430" s="71">
        <v>31781000</v>
      </c>
      <c r="E430" s="9"/>
      <c r="F430" s="9"/>
      <c r="G430" s="62"/>
      <c r="H430" s="54">
        <v>6.5</v>
      </c>
      <c r="I430" s="34"/>
      <c r="J430" s="34"/>
      <c r="K430" s="34">
        <v>0</v>
      </c>
      <c r="L430" s="8">
        <f t="shared" si="148"/>
        <v>31781000</v>
      </c>
      <c r="M430" s="8">
        <f t="shared" si="153"/>
        <v>31781000</v>
      </c>
      <c r="N430" s="8">
        <f t="shared" si="149"/>
        <v>25424800</v>
      </c>
      <c r="O430" s="8"/>
      <c r="P430" s="61"/>
      <c r="Q430" s="8">
        <v>0</v>
      </c>
      <c r="R430" s="4">
        <v>0</v>
      </c>
      <c r="S430" s="143">
        <f t="shared" ref="S430:S475" si="155">N430-U430</f>
        <v>19068600</v>
      </c>
      <c r="T430" s="4">
        <f t="shared" si="150"/>
        <v>6356200</v>
      </c>
      <c r="U430" s="4">
        <f t="shared" si="151"/>
        <v>6356200</v>
      </c>
      <c r="V430" s="34"/>
      <c r="W430" s="34"/>
      <c r="X430" s="4">
        <v>413153</v>
      </c>
      <c r="Y430" s="8">
        <v>2065765</v>
      </c>
      <c r="Z430" s="143">
        <f t="shared" ref="Z430:Z475" si="156">U430</f>
        <v>6356200</v>
      </c>
      <c r="AA430" s="4">
        <f t="shared" si="152"/>
        <v>2065765</v>
      </c>
      <c r="AB430" s="8">
        <f t="shared" ref="AB430:AB475" si="157">N430*6.5/100</f>
        <v>1652612</v>
      </c>
      <c r="AC430" s="4">
        <f t="shared" si="154"/>
        <v>1239459</v>
      </c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</row>
    <row r="431" spans="1:61" s="95" customFormat="1" ht="27.6" customHeight="1" x14ac:dyDescent="0.2">
      <c r="A431" s="138">
        <v>420</v>
      </c>
      <c r="B431" s="58" t="s">
        <v>415</v>
      </c>
      <c r="C431" s="9" t="s">
        <v>221</v>
      </c>
      <c r="D431" s="71">
        <v>5358000</v>
      </c>
      <c r="E431" s="9"/>
      <c r="F431" s="9"/>
      <c r="G431" s="62"/>
      <c r="H431" s="54">
        <v>6.5</v>
      </c>
      <c r="I431" s="34"/>
      <c r="J431" s="34"/>
      <c r="K431" s="34">
        <v>0</v>
      </c>
      <c r="L431" s="8">
        <f t="shared" si="148"/>
        <v>5358000</v>
      </c>
      <c r="M431" s="8">
        <f t="shared" si="153"/>
        <v>5358000</v>
      </c>
      <c r="N431" s="8">
        <f t="shared" si="149"/>
        <v>4286400</v>
      </c>
      <c r="O431" s="8"/>
      <c r="P431" s="61"/>
      <c r="Q431" s="8">
        <v>0</v>
      </c>
      <c r="R431" s="4">
        <v>0</v>
      </c>
      <c r="S431" s="143">
        <f t="shared" si="155"/>
        <v>3214800</v>
      </c>
      <c r="T431" s="4">
        <f t="shared" si="150"/>
        <v>1071600</v>
      </c>
      <c r="U431" s="4">
        <f t="shared" si="151"/>
        <v>1071600</v>
      </c>
      <c r="V431" s="34"/>
      <c r="W431" s="34"/>
      <c r="X431" s="4">
        <v>62508</v>
      </c>
      <c r="Y431" s="8">
        <v>345670</v>
      </c>
      <c r="Z431" s="143">
        <f t="shared" si="156"/>
        <v>1071600</v>
      </c>
      <c r="AA431" s="4">
        <f t="shared" si="152"/>
        <v>348270</v>
      </c>
      <c r="AB431" s="8">
        <f t="shared" si="157"/>
        <v>278616</v>
      </c>
      <c r="AC431" s="4">
        <f t="shared" si="154"/>
        <v>208962</v>
      </c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</row>
    <row r="432" spans="1:61" s="95" customFormat="1" ht="27.6" customHeight="1" x14ac:dyDescent="0.2">
      <c r="A432" s="9">
        <v>421</v>
      </c>
      <c r="B432" s="58" t="s">
        <v>417</v>
      </c>
      <c r="C432" s="9" t="s">
        <v>221</v>
      </c>
      <c r="D432" s="71">
        <v>15140000</v>
      </c>
      <c r="E432" s="9"/>
      <c r="F432" s="9"/>
      <c r="G432" s="62"/>
      <c r="H432" s="54">
        <v>6.5</v>
      </c>
      <c r="I432" s="34"/>
      <c r="J432" s="34"/>
      <c r="K432" s="34">
        <v>0</v>
      </c>
      <c r="L432" s="8">
        <f t="shared" si="148"/>
        <v>15140000</v>
      </c>
      <c r="M432" s="8">
        <f t="shared" si="153"/>
        <v>15140000</v>
      </c>
      <c r="N432" s="8">
        <f t="shared" si="149"/>
        <v>12112000</v>
      </c>
      <c r="O432" s="8"/>
      <c r="P432" s="61"/>
      <c r="Q432" s="8">
        <v>0</v>
      </c>
      <c r="R432" s="4">
        <v>0</v>
      </c>
      <c r="S432" s="143">
        <f t="shared" si="155"/>
        <v>9084000</v>
      </c>
      <c r="T432" s="4">
        <f t="shared" si="150"/>
        <v>3028000</v>
      </c>
      <c r="U432" s="4">
        <f t="shared" si="151"/>
        <v>3028000</v>
      </c>
      <c r="V432" s="34"/>
      <c r="W432" s="34"/>
      <c r="X432" s="4">
        <v>159074</v>
      </c>
      <c r="Y432" s="8">
        <v>984100</v>
      </c>
      <c r="Z432" s="143">
        <f t="shared" si="156"/>
        <v>3028000</v>
      </c>
      <c r="AA432" s="4">
        <f t="shared" si="152"/>
        <v>984100</v>
      </c>
      <c r="AB432" s="8">
        <f t="shared" si="157"/>
        <v>787280</v>
      </c>
      <c r="AC432" s="4">
        <f t="shared" si="154"/>
        <v>590460</v>
      </c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</row>
    <row r="433" spans="1:61" s="95" customFormat="1" ht="27.6" customHeight="1" x14ac:dyDescent="0.2">
      <c r="A433" s="138">
        <v>422</v>
      </c>
      <c r="B433" s="58" t="s">
        <v>447</v>
      </c>
      <c r="C433" s="9" t="s">
        <v>221</v>
      </c>
      <c r="D433" s="71">
        <v>97285000</v>
      </c>
      <c r="E433" s="9"/>
      <c r="F433" s="9"/>
      <c r="G433" s="62"/>
      <c r="H433" s="54">
        <v>6.5</v>
      </c>
      <c r="I433" s="34"/>
      <c r="J433" s="34"/>
      <c r="K433" s="34">
        <v>0</v>
      </c>
      <c r="L433" s="8">
        <v>97285000</v>
      </c>
      <c r="M433" s="8">
        <f t="shared" si="153"/>
        <v>97285000</v>
      </c>
      <c r="N433" s="8">
        <f t="shared" si="149"/>
        <v>77828000</v>
      </c>
      <c r="O433" s="8"/>
      <c r="P433" s="61"/>
      <c r="Q433" s="8">
        <v>0</v>
      </c>
      <c r="R433" s="4">
        <v>0</v>
      </c>
      <c r="S433" s="143">
        <f t="shared" si="155"/>
        <v>58371000</v>
      </c>
      <c r="T433" s="4">
        <f t="shared" si="150"/>
        <v>19457000</v>
      </c>
      <c r="U433" s="4">
        <f t="shared" si="151"/>
        <v>19457000</v>
      </c>
      <c r="V433" s="34"/>
      <c r="W433" s="34"/>
      <c r="X433" s="4">
        <v>796937</v>
      </c>
      <c r="Y433" s="8">
        <v>6323525</v>
      </c>
      <c r="Z433" s="143">
        <f t="shared" si="156"/>
        <v>19457000</v>
      </c>
      <c r="AA433" s="4">
        <f t="shared" si="152"/>
        <v>6323525</v>
      </c>
      <c r="AB433" s="8">
        <f t="shared" si="157"/>
        <v>5058820</v>
      </c>
      <c r="AC433" s="4">
        <f t="shared" si="154"/>
        <v>3794115</v>
      </c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</row>
    <row r="434" spans="1:61" s="95" customFormat="1" ht="27.6" customHeight="1" x14ac:dyDescent="0.2">
      <c r="A434" s="9">
        <v>423</v>
      </c>
      <c r="B434" s="58" t="s">
        <v>447</v>
      </c>
      <c r="C434" s="9" t="s">
        <v>221</v>
      </c>
      <c r="D434" s="71">
        <v>64316000</v>
      </c>
      <c r="E434" s="9"/>
      <c r="F434" s="9"/>
      <c r="G434" s="62"/>
      <c r="H434" s="54">
        <v>6.5</v>
      </c>
      <c r="I434" s="34"/>
      <c r="J434" s="34"/>
      <c r="K434" s="34">
        <v>0</v>
      </c>
      <c r="L434" s="8">
        <v>64316000</v>
      </c>
      <c r="M434" s="8">
        <f t="shared" si="153"/>
        <v>64316000</v>
      </c>
      <c r="N434" s="8">
        <f t="shared" si="149"/>
        <v>51452800</v>
      </c>
      <c r="O434" s="8"/>
      <c r="P434" s="61"/>
      <c r="Q434" s="8">
        <v>0</v>
      </c>
      <c r="R434" s="4">
        <v>0</v>
      </c>
      <c r="S434" s="143">
        <f t="shared" si="155"/>
        <v>38589600</v>
      </c>
      <c r="T434" s="4">
        <f t="shared" si="150"/>
        <v>12863200</v>
      </c>
      <c r="U434" s="4">
        <f t="shared" si="151"/>
        <v>12863200</v>
      </c>
      <c r="V434" s="34"/>
      <c r="W434" s="34"/>
      <c r="X434" s="4">
        <v>526863</v>
      </c>
      <c r="Y434" s="8">
        <v>4180540</v>
      </c>
      <c r="Z434" s="143">
        <f t="shared" si="156"/>
        <v>12863200</v>
      </c>
      <c r="AA434" s="4">
        <f t="shared" si="152"/>
        <v>4180540</v>
      </c>
      <c r="AB434" s="8">
        <f t="shared" si="157"/>
        <v>3344432</v>
      </c>
      <c r="AC434" s="4">
        <f t="shared" si="154"/>
        <v>2508324</v>
      </c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</row>
    <row r="435" spans="1:61" s="95" customFormat="1" ht="27.6" customHeight="1" x14ac:dyDescent="0.2">
      <c r="A435" s="138">
        <v>424</v>
      </c>
      <c r="B435" s="58" t="s">
        <v>448</v>
      </c>
      <c r="C435" s="9" t="s">
        <v>221</v>
      </c>
      <c r="D435" s="71">
        <v>6118000</v>
      </c>
      <c r="E435" s="9"/>
      <c r="F435" s="9"/>
      <c r="G435" s="62"/>
      <c r="H435" s="54">
        <v>6.5</v>
      </c>
      <c r="I435" s="34"/>
      <c r="J435" s="34"/>
      <c r="K435" s="34">
        <v>0</v>
      </c>
      <c r="L435" s="8">
        <v>6118000</v>
      </c>
      <c r="M435" s="8">
        <f t="shared" si="153"/>
        <v>6118000</v>
      </c>
      <c r="N435" s="8">
        <f t="shared" si="149"/>
        <v>4894400</v>
      </c>
      <c r="O435" s="8"/>
      <c r="P435" s="61"/>
      <c r="Q435" s="8">
        <v>0</v>
      </c>
      <c r="R435" s="4">
        <v>0</v>
      </c>
      <c r="S435" s="143">
        <f t="shared" si="155"/>
        <v>3670800</v>
      </c>
      <c r="T435" s="4">
        <f t="shared" si="150"/>
        <v>1223600</v>
      </c>
      <c r="U435" s="4">
        <f t="shared" si="151"/>
        <v>1223600</v>
      </c>
      <c r="V435" s="34"/>
      <c r="W435" s="34"/>
      <c r="X435" s="4">
        <v>49028</v>
      </c>
      <c r="Y435" s="8">
        <v>397670</v>
      </c>
      <c r="Z435" s="143">
        <f t="shared" si="156"/>
        <v>1223600</v>
      </c>
      <c r="AA435" s="4">
        <f t="shared" si="152"/>
        <v>397670</v>
      </c>
      <c r="AB435" s="8">
        <f t="shared" si="157"/>
        <v>318136</v>
      </c>
      <c r="AC435" s="4">
        <f t="shared" si="154"/>
        <v>238602</v>
      </c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</row>
    <row r="436" spans="1:61" s="95" customFormat="1" ht="27.6" customHeight="1" x14ac:dyDescent="0.2">
      <c r="A436" s="9">
        <v>425</v>
      </c>
      <c r="B436" s="58" t="s">
        <v>449</v>
      </c>
      <c r="C436" s="9" t="s">
        <v>221</v>
      </c>
      <c r="D436" s="71">
        <v>8794000</v>
      </c>
      <c r="E436" s="9"/>
      <c r="F436" s="9"/>
      <c r="G436" s="62"/>
      <c r="H436" s="54">
        <v>6.5</v>
      </c>
      <c r="I436" s="34"/>
      <c r="J436" s="34"/>
      <c r="K436" s="34">
        <v>0</v>
      </c>
      <c r="L436" s="8">
        <v>8794000</v>
      </c>
      <c r="M436" s="8">
        <f t="shared" si="153"/>
        <v>8794000</v>
      </c>
      <c r="N436" s="8">
        <f t="shared" si="149"/>
        <v>7035200</v>
      </c>
      <c r="O436" s="8"/>
      <c r="P436" s="61"/>
      <c r="Q436" s="8">
        <v>0</v>
      </c>
      <c r="R436" s="4">
        <v>0</v>
      </c>
      <c r="S436" s="143">
        <f t="shared" si="155"/>
        <v>5276400</v>
      </c>
      <c r="T436" s="4">
        <f t="shared" si="150"/>
        <v>1758800</v>
      </c>
      <c r="U436" s="4">
        <f t="shared" si="151"/>
        <v>1758800</v>
      </c>
      <c r="V436" s="34"/>
      <c r="W436" s="34"/>
      <c r="X436" s="4">
        <v>67340</v>
      </c>
      <c r="Y436" s="8">
        <v>571610</v>
      </c>
      <c r="Z436" s="143">
        <f t="shared" si="156"/>
        <v>1758800</v>
      </c>
      <c r="AA436" s="4">
        <f t="shared" si="152"/>
        <v>571610</v>
      </c>
      <c r="AB436" s="8">
        <f t="shared" si="157"/>
        <v>457288</v>
      </c>
      <c r="AC436" s="4">
        <f t="shared" si="154"/>
        <v>342966</v>
      </c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</row>
    <row r="437" spans="1:61" s="95" customFormat="1" ht="27.6" customHeight="1" x14ac:dyDescent="0.2">
      <c r="A437" s="138">
        <v>426</v>
      </c>
      <c r="B437" s="58" t="s">
        <v>455</v>
      </c>
      <c r="C437" s="9" t="s">
        <v>221</v>
      </c>
      <c r="D437" s="71">
        <v>4048000</v>
      </c>
      <c r="E437" s="9"/>
      <c r="F437" s="9"/>
      <c r="G437" s="62"/>
      <c r="H437" s="54">
        <v>6.5</v>
      </c>
      <c r="I437" s="34"/>
      <c r="J437" s="34"/>
      <c r="K437" s="34">
        <v>0</v>
      </c>
      <c r="L437" s="8">
        <v>4048000</v>
      </c>
      <c r="M437" s="8">
        <f t="shared" si="153"/>
        <v>4048000</v>
      </c>
      <c r="N437" s="8">
        <f t="shared" si="149"/>
        <v>3238400</v>
      </c>
      <c r="O437" s="8"/>
      <c r="P437" s="61"/>
      <c r="Q437" s="8">
        <v>0</v>
      </c>
      <c r="R437" s="4">
        <v>0</v>
      </c>
      <c r="S437" s="143">
        <f t="shared" si="155"/>
        <v>2428800</v>
      </c>
      <c r="T437" s="4">
        <f t="shared" si="150"/>
        <v>809600</v>
      </c>
      <c r="U437" s="4">
        <f t="shared" si="151"/>
        <v>809600</v>
      </c>
      <c r="V437" s="34"/>
      <c r="W437" s="34"/>
      <c r="X437" s="4">
        <v>10092</v>
      </c>
      <c r="Y437" s="8">
        <v>263120</v>
      </c>
      <c r="Z437" s="143">
        <f t="shared" si="156"/>
        <v>809600</v>
      </c>
      <c r="AA437" s="4">
        <f t="shared" si="152"/>
        <v>263120</v>
      </c>
      <c r="AB437" s="8">
        <f t="shared" si="157"/>
        <v>210496</v>
      </c>
      <c r="AC437" s="4">
        <f t="shared" si="154"/>
        <v>157872</v>
      </c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</row>
    <row r="438" spans="1:61" s="95" customFormat="1" ht="27.6" customHeight="1" x14ac:dyDescent="0.2">
      <c r="A438" s="9">
        <v>427</v>
      </c>
      <c r="B438" s="58" t="s">
        <v>456</v>
      </c>
      <c r="C438" s="9" t="s">
        <v>221</v>
      </c>
      <c r="D438" s="71">
        <v>63000000</v>
      </c>
      <c r="E438" s="9"/>
      <c r="F438" s="9"/>
      <c r="G438" s="62"/>
      <c r="H438" s="54">
        <v>6.5</v>
      </c>
      <c r="I438" s="34"/>
      <c r="J438" s="34"/>
      <c r="K438" s="34">
        <v>0</v>
      </c>
      <c r="L438" s="8">
        <v>63000000</v>
      </c>
      <c r="M438" s="8">
        <f t="shared" si="153"/>
        <v>63000000</v>
      </c>
      <c r="N438" s="8">
        <f t="shared" si="149"/>
        <v>50400000</v>
      </c>
      <c r="O438" s="8"/>
      <c r="P438" s="61"/>
      <c r="Q438" s="8">
        <v>0</v>
      </c>
      <c r="R438" s="4">
        <v>0</v>
      </c>
      <c r="S438" s="143">
        <f t="shared" si="155"/>
        <v>37800000</v>
      </c>
      <c r="T438" s="4">
        <f t="shared" si="150"/>
        <v>12600000</v>
      </c>
      <c r="U438" s="4">
        <f t="shared" si="151"/>
        <v>12600000</v>
      </c>
      <c r="V438" s="34"/>
      <c r="W438" s="34"/>
      <c r="X438" s="4">
        <v>123411</v>
      </c>
      <c r="Y438" s="8">
        <v>4095000</v>
      </c>
      <c r="Z438" s="143">
        <f t="shared" si="156"/>
        <v>12600000</v>
      </c>
      <c r="AA438" s="4">
        <f t="shared" si="152"/>
        <v>4095000</v>
      </c>
      <c r="AB438" s="8">
        <f t="shared" si="157"/>
        <v>3276000</v>
      </c>
      <c r="AC438" s="4">
        <f t="shared" si="154"/>
        <v>2457000</v>
      </c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</row>
    <row r="439" spans="1:61" s="95" customFormat="1" ht="27.6" customHeight="1" x14ac:dyDescent="0.2">
      <c r="A439" s="138">
        <v>428</v>
      </c>
      <c r="B439" s="58" t="s">
        <v>456</v>
      </c>
      <c r="C439" s="9" t="s">
        <v>221</v>
      </c>
      <c r="D439" s="71">
        <v>33000000</v>
      </c>
      <c r="E439" s="9"/>
      <c r="F439" s="9"/>
      <c r="G439" s="62"/>
      <c r="H439" s="54">
        <v>6.5</v>
      </c>
      <c r="I439" s="34"/>
      <c r="J439" s="34"/>
      <c r="K439" s="34">
        <v>0</v>
      </c>
      <c r="L439" s="8">
        <v>33000000</v>
      </c>
      <c r="M439" s="8">
        <f t="shared" si="153"/>
        <v>33000000</v>
      </c>
      <c r="N439" s="8">
        <f t="shared" si="149"/>
        <v>26400000</v>
      </c>
      <c r="O439" s="8"/>
      <c r="P439" s="61"/>
      <c r="Q439" s="8">
        <v>0</v>
      </c>
      <c r="R439" s="4">
        <v>0</v>
      </c>
      <c r="S439" s="143">
        <f t="shared" si="155"/>
        <v>19800000</v>
      </c>
      <c r="T439" s="4">
        <f t="shared" si="150"/>
        <v>6600000</v>
      </c>
      <c r="U439" s="4">
        <f t="shared" si="151"/>
        <v>6600000</v>
      </c>
      <c r="V439" s="34"/>
      <c r="W439" s="34"/>
      <c r="X439" s="4">
        <v>64644</v>
      </c>
      <c r="Y439" s="8">
        <v>2145000</v>
      </c>
      <c r="Z439" s="143">
        <f t="shared" si="156"/>
        <v>6600000</v>
      </c>
      <c r="AA439" s="4">
        <f t="shared" si="152"/>
        <v>2145000</v>
      </c>
      <c r="AB439" s="8">
        <f t="shared" si="157"/>
        <v>1716000</v>
      </c>
      <c r="AC439" s="4">
        <f t="shared" si="154"/>
        <v>1287000</v>
      </c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</row>
    <row r="440" spans="1:61" s="95" customFormat="1" ht="27.6" customHeight="1" x14ac:dyDescent="0.2">
      <c r="A440" s="9">
        <v>429</v>
      </c>
      <c r="B440" s="58" t="s">
        <v>456</v>
      </c>
      <c r="C440" s="9" t="s">
        <v>221</v>
      </c>
      <c r="D440" s="71">
        <v>3176000</v>
      </c>
      <c r="E440" s="9"/>
      <c r="F440" s="9"/>
      <c r="G440" s="62"/>
      <c r="H440" s="54">
        <v>6.5</v>
      </c>
      <c r="I440" s="34"/>
      <c r="J440" s="34"/>
      <c r="K440" s="34">
        <v>0</v>
      </c>
      <c r="L440" s="8">
        <v>3176000</v>
      </c>
      <c r="M440" s="8">
        <f t="shared" si="153"/>
        <v>3176000</v>
      </c>
      <c r="N440" s="8">
        <f t="shared" si="149"/>
        <v>2540800</v>
      </c>
      <c r="O440" s="8"/>
      <c r="P440" s="61"/>
      <c r="Q440" s="8">
        <v>0</v>
      </c>
      <c r="R440" s="4">
        <v>0</v>
      </c>
      <c r="S440" s="143">
        <f t="shared" si="155"/>
        <v>1905600</v>
      </c>
      <c r="T440" s="4">
        <f t="shared" si="150"/>
        <v>635200</v>
      </c>
      <c r="U440" s="4">
        <f t="shared" si="151"/>
        <v>635200</v>
      </c>
      <c r="V440" s="34"/>
      <c r="W440" s="34"/>
      <c r="X440" s="4">
        <v>6222</v>
      </c>
      <c r="Y440" s="8">
        <v>206440</v>
      </c>
      <c r="Z440" s="143">
        <f t="shared" si="156"/>
        <v>635200</v>
      </c>
      <c r="AA440" s="4">
        <f t="shared" si="152"/>
        <v>206440</v>
      </c>
      <c r="AB440" s="8">
        <f t="shared" si="157"/>
        <v>165152</v>
      </c>
      <c r="AC440" s="4">
        <f t="shared" si="154"/>
        <v>123864</v>
      </c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</row>
    <row r="441" spans="1:61" s="95" customFormat="1" ht="27.6" customHeight="1" x14ac:dyDescent="0.2">
      <c r="A441" s="138">
        <v>430</v>
      </c>
      <c r="B441" s="58" t="s">
        <v>456</v>
      </c>
      <c r="C441" s="9" t="s">
        <v>221</v>
      </c>
      <c r="D441" s="71">
        <v>8110000</v>
      </c>
      <c r="E441" s="9"/>
      <c r="F441" s="9"/>
      <c r="G441" s="62"/>
      <c r="H441" s="54">
        <v>6.5</v>
      </c>
      <c r="I441" s="34"/>
      <c r="J441" s="34"/>
      <c r="K441" s="34">
        <v>0</v>
      </c>
      <c r="L441" s="8">
        <v>8110000</v>
      </c>
      <c r="M441" s="8">
        <f t="shared" si="153"/>
        <v>8110000</v>
      </c>
      <c r="N441" s="8">
        <f t="shared" si="149"/>
        <v>6488000</v>
      </c>
      <c r="O441" s="8"/>
      <c r="P441" s="61"/>
      <c r="Q441" s="8">
        <v>0</v>
      </c>
      <c r="R441" s="4">
        <v>0</v>
      </c>
      <c r="S441" s="143">
        <f t="shared" si="155"/>
        <v>4866000</v>
      </c>
      <c r="T441" s="4">
        <f t="shared" si="150"/>
        <v>1622000</v>
      </c>
      <c r="U441" s="4">
        <f t="shared" si="151"/>
        <v>1622000</v>
      </c>
      <c r="V441" s="34"/>
      <c r="W441" s="34"/>
      <c r="X441" s="4">
        <v>15887</v>
      </c>
      <c r="Y441" s="8">
        <v>527150</v>
      </c>
      <c r="Z441" s="143">
        <f t="shared" si="156"/>
        <v>1622000</v>
      </c>
      <c r="AA441" s="4">
        <f t="shared" si="152"/>
        <v>527150</v>
      </c>
      <c r="AB441" s="8">
        <f t="shared" si="157"/>
        <v>421720</v>
      </c>
      <c r="AC441" s="4">
        <f t="shared" si="154"/>
        <v>316290</v>
      </c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</row>
    <row r="442" spans="1:61" s="95" customFormat="1" ht="27.6" customHeight="1" x14ac:dyDescent="0.2">
      <c r="A442" s="9">
        <v>431</v>
      </c>
      <c r="B442" s="58" t="s">
        <v>460</v>
      </c>
      <c r="C442" s="9" t="s">
        <v>221</v>
      </c>
      <c r="D442" s="71">
        <v>304000000</v>
      </c>
      <c r="E442" s="9"/>
      <c r="F442" s="9"/>
      <c r="G442" s="62"/>
      <c r="H442" s="54">
        <v>6.5</v>
      </c>
      <c r="I442" s="34"/>
      <c r="J442" s="34"/>
      <c r="K442" s="34">
        <v>0</v>
      </c>
      <c r="L442" s="8">
        <v>304000000</v>
      </c>
      <c r="M442" s="8">
        <f>L442-R442</f>
        <v>304000000</v>
      </c>
      <c r="N442" s="8">
        <f t="shared" si="149"/>
        <v>243200000</v>
      </c>
      <c r="O442" s="8"/>
      <c r="P442" s="61"/>
      <c r="Q442" s="8">
        <v>0</v>
      </c>
      <c r="R442" s="4">
        <v>0</v>
      </c>
      <c r="S442" s="143">
        <f t="shared" si="155"/>
        <v>182400000</v>
      </c>
      <c r="T442" s="4">
        <f t="shared" si="150"/>
        <v>60800000</v>
      </c>
      <c r="U442" s="4">
        <f t="shared" si="151"/>
        <v>60800000</v>
      </c>
      <c r="V442" s="34"/>
      <c r="W442" s="34"/>
      <c r="X442" s="4">
        <v>162411</v>
      </c>
      <c r="Y442" s="8">
        <v>19760000</v>
      </c>
      <c r="Z442" s="143">
        <f t="shared" si="156"/>
        <v>60800000</v>
      </c>
      <c r="AA442" s="4">
        <f t="shared" si="152"/>
        <v>19760000</v>
      </c>
      <c r="AB442" s="8">
        <f t="shared" si="157"/>
        <v>15808000</v>
      </c>
      <c r="AC442" s="4">
        <f t="shared" si="154"/>
        <v>11856000</v>
      </c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</row>
    <row r="443" spans="1:61" s="95" customFormat="1" ht="27.6" customHeight="1" x14ac:dyDescent="0.2">
      <c r="A443" s="138">
        <v>432</v>
      </c>
      <c r="B443" s="58" t="s">
        <v>461</v>
      </c>
      <c r="C443" s="9" t="s">
        <v>221</v>
      </c>
      <c r="D443" s="71">
        <v>161345000</v>
      </c>
      <c r="E443" s="9"/>
      <c r="F443" s="9"/>
      <c r="G443" s="62"/>
      <c r="H443" s="54">
        <v>6.5</v>
      </c>
      <c r="I443" s="34"/>
      <c r="J443" s="34"/>
      <c r="K443" s="34">
        <v>0</v>
      </c>
      <c r="L443" s="8">
        <v>161345000</v>
      </c>
      <c r="M443" s="8">
        <f>L443-R443</f>
        <v>161345000</v>
      </c>
      <c r="N443" s="8">
        <f t="shared" si="149"/>
        <v>129076000</v>
      </c>
      <c r="O443" s="8"/>
      <c r="P443" s="61"/>
      <c r="Q443" s="8">
        <v>0</v>
      </c>
      <c r="R443" s="4">
        <v>0</v>
      </c>
      <c r="S443" s="143">
        <f t="shared" si="155"/>
        <v>96807000</v>
      </c>
      <c r="T443" s="4">
        <f t="shared" si="150"/>
        <v>32269000</v>
      </c>
      <c r="U443" s="4">
        <f t="shared" si="151"/>
        <v>32269000</v>
      </c>
      <c r="V443" s="34"/>
      <c r="W443" s="34"/>
      <c r="X443" s="4">
        <v>57465</v>
      </c>
      <c r="Y443" s="8">
        <v>10487425</v>
      </c>
      <c r="Z443" s="143">
        <f t="shared" si="156"/>
        <v>32269000</v>
      </c>
      <c r="AA443" s="4">
        <f t="shared" si="152"/>
        <v>10487425</v>
      </c>
      <c r="AB443" s="8">
        <f t="shared" si="157"/>
        <v>8389940</v>
      </c>
      <c r="AC443" s="4">
        <f t="shared" si="154"/>
        <v>6292455</v>
      </c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</row>
    <row r="444" spans="1:61" s="95" customFormat="1" ht="27.6" customHeight="1" x14ac:dyDescent="0.2">
      <c r="A444" s="9">
        <v>433</v>
      </c>
      <c r="B444" s="58" t="s">
        <v>461</v>
      </c>
      <c r="C444" s="9" t="s">
        <v>221</v>
      </c>
      <c r="D444" s="71">
        <v>23650000</v>
      </c>
      <c r="E444" s="9"/>
      <c r="F444" s="9"/>
      <c r="G444" s="62"/>
      <c r="H444" s="54">
        <v>6.5</v>
      </c>
      <c r="I444" s="34"/>
      <c r="J444" s="34"/>
      <c r="K444" s="34">
        <v>0</v>
      </c>
      <c r="L444" s="8">
        <v>23650000</v>
      </c>
      <c r="M444" s="8">
        <f>L444-R444</f>
        <v>23650000</v>
      </c>
      <c r="N444" s="8">
        <f t="shared" si="149"/>
        <v>18920000</v>
      </c>
      <c r="O444" s="8"/>
      <c r="P444" s="61"/>
      <c r="Q444" s="8">
        <v>0</v>
      </c>
      <c r="R444" s="4">
        <v>0</v>
      </c>
      <c r="S444" s="143">
        <f t="shared" si="155"/>
        <v>14190000</v>
      </c>
      <c r="T444" s="4">
        <f t="shared" si="150"/>
        <v>4730000</v>
      </c>
      <c r="U444" s="4">
        <f t="shared" si="151"/>
        <v>4730000</v>
      </c>
      <c r="V444" s="34"/>
      <c r="W444" s="34"/>
      <c r="X444" s="4">
        <v>8423</v>
      </c>
      <c r="Y444" s="8">
        <v>1537250</v>
      </c>
      <c r="Z444" s="143">
        <f t="shared" si="156"/>
        <v>4730000</v>
      </c>
      <c r="AA444" s="4">
        <f t="shared" si="152"/>
        <v>1537250</v>
      </c>
      <c r="AB444" s="8">
        <f t="shared" si="157"/>
        <v>1229800</v>
      </c>
      <c r="AC444" s="4">
        <f t="shared" si="154"/>
        <v>922350</v>
      </c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</row>
    <row r="445" spans="1:61" s="95" customFormat="1" ht="27.6" customHeight="1" x14ac:dyDescent="0.2">
      <c r="A445" s="138">
        <v>434</v>
      </c>
      <c r="B445" s="58" t="s">
        <v>462</v>
      </c>
      <c r="C445" s="9" t="s">
        <v>221</v>
      </c>
      <c r="D445" s="71">
        <v>1350000</v>
      </c>
      <c r="E445" s="9"/>
      <c r="F445" s="9"/>
      <c r="G445" s="62"/>
      <c r="H445" s="54">
        <v>6.5</v>
      </c>
      <c r="I445" s="34"/>
      <c r="J445" s="34"/>
      <c r="K445" s="34">
        <v>0</v>
      </c>
      <c r="L445" s="8">
        <v>1350000</v>
      </c>
      <c r="M445" s="8">
        <f>L445-R445</f>
        <v>1350000</v>
      </c>
      <c r="N445" s="8">
        <f t="shared" si="149"/>
        <v>1080000</v>
      </c>
      <c r="O445" s="8"/>
      <c r="P445" s="61"/>
      <c r="Q445" s="8">
        <v>0</v>
      </c>
      <c r="R445" s="4">
        <v>0</v>
      </c>
      <c r="S445" s="143">
        <f t="shared" si="155"/>
        <v>810000</v>
      </c>
      <c r="T445" s="4">
        <f t="shared" si="150"/>
        <v>270000</v>
      </c>
      <c r="U445" s="4">
        <f t="shared" si="151"/>
        <v>270000</v>
      </c>
      <c r="V445" s="34"/>
      <c r="W445" s="34"/>
      <c r="X445" s="4">
        <v>240</v>
      </c>
      <c r="Y445" s="8">
        <v>87750</v>
      </c>
      <c r="Z445" s="143">
        <f t="shared" si="156"/>
        <v>270000</v>
      </c>
      <c r="AA445" s="4">
        <f t="shared" si="152"/>
        <v>87750</v>
      </c>
      <c r="AB445" s="8">
        <f t="shared" si="157"/>
        <v>70200</v>
      </c>
      <c r="AC445" s="4">
        <f t="shared" si="154"/>
        <v>52650</v>
      </c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</row>
    <row r="446" spans="1:61" s="95" customFormat="1" ht="27.6" customHeight="1" x14ac:dyDescent="0.2">
      <c r="A446" s="9">
        <v>435</v>
      </c>
      <c r="B446" s="58" t="s">
        <v>463</v>
      </c>
      <c r="C446" s="9" t="s">
        <v>221</v>
      </c>
      <c r="D446" s="71">
        <v>22148000</v>
      </c>
      <c r="E446" s="9"/>
      <c r="F446" s="9"/>
      <c r="G446" s="62"/>
      <c r="H446" s="54">
        <v>6.5</v>
      </c>
      <c r="I446" s="34"/>
      <c r="J446" s="34"/>
      <c r="K446" s="34">
        <v>0</v>
      </c>
      <c r="L446" s="8">
        <v>0</v>
      </c>
      <c r="M446" s="8">
        <v>22148000</v>
      </c>
      <c r="N446" s="8">
        <f t="shared" si="149"/>
        <v>22148000</v>
      </c>
      <c r="O446" s="8"/>
      <c r="P446" s="61"/>
      <c r="Q446" s="8"/>
      <c r="R446" s="4">
        <v>0</v>
      </c>
      <c r="S446" s="143">
        <f t="shared" si="155"/>
        <v>17718400</v>
      </c>
      <c r="T446" s="4">
        <v>0</v>
      </c>
      <c r="U446" s="4">
        <f>D446/5</f>
        <v>4429600</v>
      </c>
      <c r="V446" s="34"/>
      <c r="W446" s="34"/>
      <c r="X446" s="4"/>
      <c r="Y446" s="8">
        <v>1423843</v>
      </c>
      <c r="Z446" s="143">
        <f t="shared" si="156"/>
        <v>4429600</v>
      </c>
      <c r="AA446" s="4">
        <v>1439620</v>
      </c>
      <c r="AB446" s="8">
        <f t="shared" si="157"/>
        <v>1439620</v>
      </c>
      <c r="AC446" s="4">
        <f t="shared" si="154"/>
        <v>1151696</v>
      </c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</row>
    <row r="447" spans="1:61" s="95" customFormat="1" ht="27.6" customHeight="1" x14ac:dyDescent="0.2">
      <c r="A447" s="138">
        <v>436</v>
      </c>
      <c r="B447" s="58" t="s">
        <v>467</v>
      </c>
      <c r="C447" s="9" t="s">
        <v>221</v>
      </c>
      <c r="D447" s="71">
        <v>9654000</v>
      </c>
      <c r="E447" s="9"/>
      <c r="F447" s="9"/>
      <c r="G447" s="62"/>
      <c r="H447" s="54">
        <v>6.5</v>
      </c>
      <c r="I447" s="34"/>
      <c r="J447" s="34"/>
      <c r="K447" s="34"/>
      <c r="L447" s="8">
        <v>0</v>
      </c>
      <c r="M447" s="8">
        <v>9654000</v>
      </c>
      <c r="N447" s="8">
        <f t="shared" si="149"/>
        <v>9654000</v>
      </c>
      <c r="O447" s="8"/>
      <c r="P447" s="61"/>
      <c r="Q447" s="8"/>
      <c r="R447" s="4">
        <v>0</v>
      </c>
      <c r="S447" s="143">
        <f t="shared" si="155"/>
        <v>7723200</v>
      </c>
      <c r="T447" s="4">
        <v>0</v>
      </c>
      <c r="U447" s="4">
        <f t="shared" ref="U447:U475" si="158">D447/5</f>
        <v>1930800</v>
      </c>
      <c r="V447" s="34"/>
      <c r="W447" s="34"/>
      <c r="X447" s="4"/>
      <c r="Y447" s="8">
        <v>572495</v>
      </c>
      <c r="Z447" s="143">
        <f t="shared" si="156"/>
        <v>1930800</v>
      </c>
      <c r="AA447" s="4">
        <v>627510</v>
      </c>
      <c r="AB447" s="8">
        <f t="shared" si="157"/>
        <v>627510</v>
      </c>
      <c r="AC447" s="4">
        <f t="shared" si="154"/>
        <v>502008</v>
      </c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</row>
    <row r="448" spans="1:61" s="95" customFormat="1" ht="27.6" customHeight="1" x14ac:dyDescent="0.2">
      <c r="A448" s="9">
        <v>437</v>
      </c>
      <c r="B448" s="58" t="s">
        <v>470</v>
      </c>
      <c r="C448" s="9" t="s">
        <v>221</v>
      </c>
      <c r="D448" s="71">
        <v>95910000</v>
      </c>
      <c r="E448" s="9"/>
      <c r="F448" s="9"/>
      <c r="G448" s="62"/>
      <c r="H448" s="54">
        <v>6.5</v>
      </c>
      <c r="I448" s="34"/>
      <c r="J448" s="34"/>
      <c r="K448" s="34"/>
      <c r="L448" s="8">
        <v>0</v>
      </c>
      <c r="M448" s="8">
        <v>95910000</v>
      </c>
      <c r="N448" s="8">
        <f t="shared" si="149"/>
        <v>95910000</v>
      </c>
      <c r="O448" s="8"/>
      <c r="P448" s="61"/>
      <c r="Q448" s="8"/>
      <c r="R448" s="4">
        <v>0</v>
      </c>
      <c r="S448" s="143">
        <f t="shared" si="155"/>
        <v>76728000</v>
      </c>
      <c r="T448" s="4">
        <v>0</v>
      </c>
      <c r="U448" s="4">
        <f t="shared" si="158"/>
        <v>19182000</v>
      </c>
      <c r="V448" s="34"/>
      <c r="W448" s="34"/>
      <c r="X448" s="4"/>
      <c r="Y448" s="8">
        <v>4099167</v>
      </c>
      <c r="Z448" s="143">
        <f t="shared" si="156"/>
        <v>19182000</v>
      </c>
      <c r="AA448" s="4">
        <v>6234150</v>
      </c>
      <c r="AB448" s="8">
        <f t="shared" si="157"/>
        <v>6234150</v>
      </c>
      <c r="AC448" s="4">
        <f t="shared" si="154"/>
        <v>4987320</v>
      </c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</row>
    <row r="449" spans="1:61" s="95" customFormat="1" ht="27.6" customHeight="1" x14ac:dyDescent="0.2">
      <c r="A449" s="138">
        <v>438</v>
      </c>
      <c r="B449" s="58" t="s">
        <v>470</v>
      </c>
      <c r="C449" s="9" t="s">
        <v>221</v>
      </c>
      <c r="D449" s="71">
        <v>49791000</v>
      </c>
      <c r="E449" s="9"/>
      <c r="F449" s="9"/>
      <c r="G449" s="62"/>
      <c r="H449" s="54">
        <v>6.5</v>
      </c>
      <c r="I449" s="34"/>
      <c r="J449" s="34"/>
      <c r="K449" s="34"/>
      <c r="L449" s="8">
        <v>0</v>
      </c>
      <c r="M449" s="8">
        <v>49791000</v>
      </c>
      <c r="N449" s="8">
        <f t="shared" si="149"/>
        <v>49791000</v>
      </c>
      <c r="O449" s="8"/>
      <c r="P449" s="61"/>
      <c r="Q449" s="8"/>
      <c r="R449" s="4">
        <v>0</v>
      </c>
      <c r="S449" s="143">
        <f t="shared" si="155"/>
        <v>39832800</v>
      </c>
      <c r="T449" s="4">
        <v>0</v>
      </c>
      <c r="U449" s="4">
        <f t="shared" si="158"/>
        <v>9958200</v>
      </c>
      <c r="V449" s="34"/>
      <c r="W449" s="34"/>
      <c r="X449" s="4"/>
      <c r="Y449" s="8">
        <v>2128054</v>
      </c>
      <c r="Z449" s="143">
        <f t="shared" si="156"/>
        <v>9958200</v>
      </c>
      <c r="AA449" s="4">
        <v>3236415</v>
      </c>
      <c r="AB449" s="8">
        <f t="shared" si="157"/>
        <v>3236415</v>
      </c>
      <c r="AC449" s="4">
        <f t="shared" si="154"/>
        <v>2589132</v>
      </c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</row>
    <row r="450" spans="1:61" s="95" customFormat="1" ht="27.6" customHeight="1" x14ac:dyDescent="0.2">
      <c r="A450" s="9">
        <v>439</v>
      </c>
      <c r="B450" s="58" t="s">
        <v>474</v>
      </c>
      <c r="C450" s="9" t="s">
        <v>221</v>
      </c>
      <c r="D450" s="71">
        <v>100084000</v>
      </c>
      <c r="E450" s="9"/>
      <c r="F450" s="9"/>
      <c r="G450" s="62"/>
      <c r="H450" s="54">
        <v>6.5</v>
      </c>
      <c r="I450" s="34"/>
      <c r="J450" s="34"/>
      <c r="K450" s="34"/>
      <c r="L450" s="8">
        <v>0</v>
      </c>
      <c r="M450" s="8">
        <v>100084000</v>
      </c>
      <c r="N450" s="8">
        <f t="shared" si="149"/>
        <v>100084000</v>
      </c>
      <c r="O450" s="8"/>
      <c r="P450" s="61"/>
      <c r="Q450" s="8"/>
      <c r="R450" s="4">
        <v>0</v>
      </c>
      <c r="S450" s="143">
        <f t="shared" si="155"/>
        <v>80067200</v>
      </c>
      <c r="T450" s="4">
        <v>0</v>
      </c>
      <c r="U450" s="4">
        <f t="shared" si="158"/>
        <v>20016800</v>
      </c>
      <c r="V450" s="34"/>
      <c r="W450" s="34"/>
      <c r="X450" s="4"/>
      <c r="Y450" s="8">
        <v>3938922</v>
      </c>
      <c r="Z450" s="143">
        <f t="shared" si="156"/>
        <v>20016800</v>
      </c>
      <c r="AA450" s="4">
        <v>6505460</v>
      </c>
      <c r="AB450" s="8">
        <f t="shared" si="157"/>
        <v>6505460</v>
      </c>
      <c r="AC450" s="4">
        <f t="shared" si="154"/>
        <v>5204368</v>
      </c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</row>
    <row r="451" spans="1:61" s="95" customFormat="1" ht="27.6" customHeight="1" x14ac:dyDescent="0.2">
      <c r="A451" s="138">
        <v>440</v>
      </c>
      <c r="B451" s="58" t="s">
        <v>474</v>
      </c>
      <c r="C451" s="9" t="s">
        <v>221</v>
      </c>
      <c r="D451" s="71">
        <v>6756000</v>
      </c>
      <c r="E451" s="9"/>
      <c r="F451" s="9"/>
      <c r="G451" s="62"/>
      <c r="H451" s="54">
        <v>6.5</v>
      </c>
      <c r="I451" s="34"/>
      <c r="J451" s="34"/>
      <c r="K451" s="34"/>
      <c r="L451" s="8">
        <v>0</v>
      </c>
      <c r="M451" s="8">
        <v>6756000</v>
      </c>
      <c r="N451" s="8">
        <f t="shared" si="149"/>
        <v>6756000</v>
      </c>
      <c r="O451" s="8"/>
      <c r="P451" s="61"/>
      <c r="Q451" s="8"/>
      <c r="R451" s="4">
        <v>0</v>
      </c>
      <c r="S451" s="143">
        <f t="shared" si="155"/>
        <v>5404800</v>
      </c>
      <c r="T451" s="4">
        <v>0</v>
      </c>
      <c r="U451" s="4">
        <f t="shared" si="158"/>
        <v>1351200</v>
      </c>
      <c r="V451" s="34"/>
      <c r="W451" s="34"/>
      <c r="X451" s="4"/>
      <c r="Y451" s="8">
        <v>265890</v>
      </c>
      <c r="Z451" s="143">
        <f t="shared" si="156"/>
        <v>1351200</v>
      </c>
      <c r="AA451" s="4">
        <v>439140</v>
      </c>
      <c r="AB451" s="8">
        <f t="shared" si="157"/>
        <v>439140</v>
      </c>
      <c r="AC451" s="4">
        <f t="shared" si="154"/>
        <v>351312</v>
      </c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</row>
    <row r="452" spans="1:61" s="95" customFormat="1" ht="27.6" customHeight="1" x14ac:dyDescent="0.2">
      <c r="A452" s="9">
        <v>441</v>
      </c>
      <c r="B452" s="58" t="s">
        <v>472</v>
      </c>
      <c r="C452" s="9" t="s">
        <v>221</v>
      </c>
      <c r="D452" s="71">
        <v>8089000</v>
      </c>
      <c r="E452" s="9"/>
      <c r="F452" s="9"/>
      <c r="G452" s="62"/>
      <c r="H452" s="54">
        <v>6.5</v>
      </c>
      <c r="I452" s="34"/>
      <c r="J452" s="34"/>
      <c r="K452" s="34"/>
      <c r="L452" s="8">
        <v>0</v>
      </c>
      <c r="M452" s="8">
        <v>8089000</v>
      </c>
      <c r="N452" s="8">
        <f t="shared" si="149"/>
        <v>8089000</v>
      </c>
      <c r="O452" s="8"/>
      <c r="P452" s="61"/>
      <c r="Q452" s="8"/>
      <c r="R452" s="4">
        <v>0</v>
      </c>
      <c r="S452" s="143">
        <f t="shared" si="155"/>
        <v>6471200</v>
      </c>
      <c r="T452" s="4">
        <v>0</v>
      </c>
      <c r="U452" s="4">
        <f t="shared" si="158"/>
        <v>1617800</v>
      </c>
      <c r="V452" s="34"/>
      <c r="W452" s="34"/>
      <c r="X452" s="4"/>
      <c r="Y452" s="8">
        <v>308268</v>
      </c>
      <c r="Z452" s="143">
        <f t="shared" si="156"/>
        <v>1617800</v>
      </c>
      <c r="AA452" s="4">
        <v>525785</v>
      </c>
      <c r="AB452" s="8">
        <f t="shared" si="157"/>
        <v>525785</v>
      </c>
      <c r="AC452" s="4">
        <f t="shared" si="154"/>
        <v>420628</v>
      </c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</row>
    <row r="453" spans="1:61" s="95" customFormat="1" ht="27.6" customHeight="1" x14ac:dyDescent="0.2">
      <c r="A453" s="138">
        <v>442</v>
      </c>
      <c r="B453" s="58" t="s">
        <v>476</v>
      </c>
      <c r="C453" s="9" t="s">
        <v>221</v>
      </c>
      <c r="D453" s="71">
        <v>38728000</v>
      </c>
      <c r="E453" s="9"/>
      <c r="F453" s="9"/>
      <c r="G453" s="62"/>
      <c r="H453" s="54">
        <v>6.5</v>
      </c>
      <c r="I453" s="34"/>
      <c r="J453" s="34"/>
      <c r="K453" s="34"/>
      <c r="L453" s="8">
        <v>0</v>
      </c>
      <c r="M453" s="8">
        <v>38728000</v>
      </c>
      <c r="N453" s="8">
        <f t="shared" si="149"/>
        <v>38728000</v>
      </c>
      <c r="O453" s="8"/>
      <c r="P453" s="61"/>
      <c r="Q453" s="8"/>
      <c r="R453" s="4">
        <v>0</v>
      </c>
      <c r="S453" s="143">
        <f t="shared" si="155"/>
        <v>30982400</v>
      </c>
      <c r="T453" s="4">
        <v>0</v>
      </c>
      <c r="U453" s="4">
        <f t="shared" si="158"/>
        <v>7745600</v>
      </c>
      <c r="V453" s="34"/>
      <c r="W453" s="34"/>
      <c r="X453" s="4"/>
      <c r="Y453" s="8">
        <v>1027618</v>
      </c>
      <c r="Z453" s="143">
        <f t="shared" si="156"/>
        <v>7745600</v>
      </c>
      <c r="AA453" s="4">
        <v>2517330</v>
      </c>
      <c r="AB453" s="8">
        <f t="shared" si="157"/>
        <v>2517320</v>
      </c>
      <c r="AC453" s="4">
        <f t="shared" si="154"/>
        <v>2013856</v>
      </c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</row>
    <row r="454" spans="1:61" s="95" customFormat="1" ht="27.6" customHeight="1" x14ac:dyDescent="0.2">
      <c r="A454" s="9">
        <v>443</v>
      </c>
      <c r="B454" s="58" t="s">
        <v>476</v>
      </c>
      <c r="C454" s="9" t="s">
        <v>221</v>
      </c>
      <c r="D454" s="71">
        <v>45900000</v>
      </c>
      <c r="E454" s="9"/>
      <c r="F454" s="9"/>
      <c r="G454" s="62"/>
      <c r="H454" s="54">
        <v>6.5</v>
      </c>
      <c r="I454" s="34"/>
      <c r="J454" s="34"/>
      <c r="K454" s="34"/>
      <c r="L454" s="8">
        <v>0</v>
      </c>
      <c r="M454" s="8">
        <v>45900000</v>
      </c>
      <c r="N454" s="8">
        <f t="shared" si="149"/>
        <v>45900000</v>
      </c>
      <c r="O454" s="8"/>
      <c r="P454" s="61"/>
      <c r="Q454" s="8"/>
      <c r="R454" s="4">
        <v>0</v>
      </c>
      <c r="S454" s="143">
        <f t="shared" si="155"/>
        <v>36720000</v>
      </c>
      <c r="T454" s="4">
        <v>0</v>
      </c>
      <c r="U454" s="4">
        <f t="shared" si="158"/>
        <v>9180000</v>
      </c>
      <c r="V454" s="34"/>
      <c r="W454" s="34"/>
      <c r="X454" s="4"/>
      <c r="Y454" s="8">
        <v>1217922</v>
      </c>
      <c r="Z454" s="143">
        <f t="shared" si="156"/>
        <v>9180000</v>
      </c>
      <c r="AA454" s="4">
        <v>2983500</v>
      </c>
      <c r="AB454" s="8">
        <f t="shared" si="157"/>
        <v>2983500</v>
      </c>
      <c r="AC454" s="4">
        <f t="shared" si="154"/>
        <v>2386800</v>
      </c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</row>
    <row r="455" spans="1:61" s="95" customFormat="1" ht="27.6" customHeight="1" x14ac:dyDescent="0.2">
      <c r="A455" s="138">
        <v>444</v>
      </c>
      <c r="B455" s="58" t="s">
        <v>477</v>
      </c>
      <c r="C455" s="9" t="s">
        <v>221</v>
      </c>
      <c r="D455" s="71">
        <v>2775000</v>
      </c>
      <c r="E455" s="9"/>
      <c r="F455" s="9"/>
      <c r="G455" s="62"/>
      <c r="H455" s="54">
        <v>6.5</v>
      </c>
      <c r="I455" s="34"/>
      <c r="J455" s="34"/>
      <c r="K455" s="34"/>
      <c r="L455" s="8">
        <v>0</v>
      </c>
      <c r="M455" s="8">
        <v>2775000</v>
      </c>
      <c r="N455" s="8">
        <f t="shared" si="149"/>
        <v>2775000</v>
      </c>
      <c r="O455" s="8"/>
      <c r="P455" s="61"/>
      <c r="Q455" s="8"/>
      <c r="R455" s="4">
        <v>0</v>
      </c>
      <c r="S455" s="143">
        <f t="shared" si="155"/>
        <v>2220000</v>
      </c>
      <c r="T455" s="4">
        <v>0</v>
      </c>
      <c r="U455" s="4">
        <f t="shared" si="158"/>
        <v>555000</v>
      </c>
      <c r="V455" s="34"/>
      <c r="W455" s="34"/>
      <c r="X455" s="4"/>
      <c r="Y455" s="8">
        <v>71162</v>
      </c>
      <c r="Z455" s="143">
        <f t="shared" si="156"/>
        <v>555000</v>
      </c>
      <c r="AA455" s="4">
        <v>180375</v>
      </c>
      <c r="AB455" s="8">
        <f t="shared" si="157"/>
        <v>180375</v>
      </c>
      <c r="AC455" s="4">
        <f t="shared" si="154"/>
        <v>144300</v>
      </c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</row>
    <row r="456" spans="1:61" s="95" customFormat="1" ht="27.6" customHeight="1" x14ac:dyDescent="0.2">
      <c r="A456" s="9">
        <v>445</v>
      </c>
      <c r="B456" s="58" t="s">
        <v>431</v>
      </c>
      <c r="C456" s="9" t="s">
        <v>221</v>
      </c>
      <c r="D456" s="71">
        <v>40320000</v>
      </c>
      <c r="E456" s="9"/>
      <c r="F456" s="9"/>
      <c r="G456" s="62"/>
      <c r="H456" s="54">
        <v>6.5</v>
      </c>
      <c r="I456" s="34"/>
      <c r="J456" s="34"/>
      <c r="K456" s="34"/>
      <c r="L456" s="8">
        <v>0</v>
      </c>
      <c r="M456" s="8">
        <v>40320000</v>
      </c>
      <c r="N456" s="8">
        <f t="shared" si="149"/>
        <v>40320000</v>
      </c>
      <c r="O456" s="8"/>
      <c r="P456" s="61"/>
      <c r="Q456" s="8"/>
      <c r="R456" s="4">
        <v>0</v>
      </c>
      <c r="S456" s="143">
        <f t="shared" si="155"/>
        <v>32256000</v>
      </c>
      <c r="T456" s="4">
        <v>0</v>
      </c>
      <c r="U456" s="4">
        <f t="shared" si="158"/>
        <v>8064000</v>
      </c>
      <c r="V456" s="34"/>
      <c r="W456" s="34"/>
      <c r="X456" s="4"/>
      <c r="Y456" s="8">
        <v>718027</v>
      </c>
      <c r="Z456" s="143">
        <f t="shared" si="156"/>
        <v>8064000</v>
      </c>
      <c r="AA456" s="4">
        <v>2620800</v>
      </c>
      <c r="AB456" s="8">
        <f t="shared" si="157"/>
        <v>2620800</v>
      </c>
      <c r="AC456" s="4">
        <f t="shared" si="154"/>
        <v>2096640</v>
      </c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</row>
    <row r="457" spans="1:61" s="95" customFormat="1" ht="27.6" customHeight="1" x14ac:dyDescent="0.2">
      <c r="A457" s="138">
        <v>446</v>
      </c>
      <c r="B457" s="58" t="s">
        <v>484</v>
      </c>
      <c r="C457" s="9" t="s">
        <v>221</v>
      </c>
      <c r="D457" s="71">
        <v>14161000</v>
      </c>
      <c r="E457" s="9"/>
      <c r="F457" s="9"/>
      <c r="G457" s="62"/>
      <c r="H457" s="54">
        <v>6.5</v>
      </c>
      <c r="I457" s="34"/>
      <c r="J457" s="34"/>
      <c r="K457" s="34"/>
      <c r="L457" s="8">
        <v>0</v>
      </c>
      <c r="M457" s="8">
        <v>14161000</v>
      </c>
      <c r="N457" s="8">
        <f t="shared" si="149"/>
        <v>14161000</v>
      </c>
      <c r="O457" s="8"/>
      <c r="P457" s="61"/>
      <c r="Q457" s="8"/>
      <c r="R457" s="4">
        <v>0</v>
      </c>
      <c r="S457" s="143">
        <f t="shared" si="155"/>
        <v>11328800</v>
      </c>
      <c r="T457" s="4">
        <v>0</v>
      </c>
      <c r="U457" s="4">
        <f t="shared" si="158"/>
        <v>2832200</v>
      </c>
      <c r="V457" s="34"/>
      <c r="W457" s="34"/>
      <c r="X457" s="4"/>
      <c r="Y457" s="8">
        <v>249660</v>
      </c>
      <c r="Z457" s="143">
        <f t="shared" si="156"/>
        <v>2832200</v>
      </c>
      <c r="AA457" s="4">
        <v>920465</v>
      </c>
      <c r="AB457" s="8">
        <f t="shared" si="157"/>
        <v>920465</v>
      </c>
      <c r="AC457" s="4">
        <f t="shared" si="154"/>
        <v>736372</v>
      </c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</row>
    <row r="458" spans="1:61" s="95" customFormat="1" ht="27.6" customHeight="1" x14ac:dyDescent="0.2">
      <c r="A458" s="9">
        <v>447</v>
      </c>
      <c r="B458" s="58" t="s">
        <v>487</v>
      </c>
      <c r="C458" s="9" t="s">
        <v>221</v>
      </c>
      <c r="D458" s="71">
        <v>78678000</v>
      </c>
      <c r="E458" s="9"/>
      <c r="F458" s="9"/>
      <c r="G458" s="62"/>
      <c r="H458" s="54">
        <v>6.5</v>
      </c>
      <c r="I458" s="34"/>
      <c r="J458" s="34"/>
      <c r="K458" s="34"/>
      <c r="L458" s="8">
        <v>0</v>
      </c>
      <c r="M458" s="8">
        <v>78678000</v>
      </c>
      <c r="N458" s="8">
        <f t="shared" si="149"/>
        <v>78678000</v>
      </c>
      <c r="O458" s="8"/>
      <c r="P458" s="61"/>
      <c r="Q458" s="8"/>
      <c r="R458" s="4">
        <v>0</v>
      </c>
      <c r="S458" s="143">
        <f t="shared" si="155"/>
        <v>62942400</v>
      </c>
      <c r="T458" s="4">
        <v>0</v>
      </c>
      <c r="U458" s="4">
        <f t="shared" si="158"/>
        <v>15735600</v>
      </c>
      <c r="V458" s="34"/>
      <c r="W458" s="34"/>
      <c r="X458" s="4"/>
      <c r="Y458" s="8">
        <v>1303037</v>
      </c>
      <c r="Z458" s="143">
        <f t="shared" si="156"/>
        <v>15735600</v>
      </c>
      <c r="AA458" s="4">
        <v>5114070</v>
      </c>
      <c r="AB458" s="8">
        <f t="shared" si="157"/>
        <v>5114070</v>
      </c>
      <c r="AC458" s="4">
        <f t="shared" si="154"/>
        <v>4091256</v>
      </c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</row>
    <row r="459" spans="1:61" s="95" customFormat="1" ht="27.6" customHeight="1" x14ac:dyDescent="0.2">
      <c r="A459" s="138">
        <v>448</v>
      </c>
      <c r="B459" s="58" t="s">
        <v>487</v>
      </c>
      <c r="C459" s="9" t="s">
        <v>221</v>
      </c>
      <c r="D459" s="71">
        <v>87202000</v>
      </c>
      <c r="E459" s="9"/>
      <c r="F459" s="9"/>
      <c r="G459" s="62"/>
      <c r="H459" s="54">
        <v>6.5</v>
      </c>
      <c r="I459" s="34"/>
      <c r="J459" s="34"/>
      <c r="K459" s="34"/>
      <c r="L459" s="8">
        <v>0</v>
      </c>
      <c r="M459" s="8">
        <v>87202000</v>
      </c>
      <c r="N459" s="8">
        <f t="shared" si="149"/>
        <v>87202000</v>
      </c>
      <c r="O459" s="8"/>
      <c r="P459" s="61"/>
      <c r="Q459" s="8"/>
      <c r="R459" s="4">
        <v>0</v>
      </c>
      <c r="S459" s="143">
        <f t="shared" si="155"/>
        <v>69761600</v>
      </c>
      <c r="T459" s="4">
        <v>0</v>
      </c>
      <c r="U459" s="4">
        <f t="shared" si="158"/>
        <v>17440400</v>
      </c>
      <c r="V459" s="34"/>
      <c r="W459" s="34"/>
      <c r="X459" s="4"/>
      <c r="Y459" s="8">
        <v>1444208</v>
      </c>
      <c r="Z459" s="143">
        <f t="shared" si="156"/>
        <v>17440400</v>
      </c>
      <c r="AA459" s="4">
        <v>5668130</v>
      </c>
      <c r="AB459" s="8">
        <f t="shared" si="157"/>
        <v>5668130</v>
      </c>
      <c r="AC459" s="4">
        <f t="shared" si="154"/>
        <v>4534504</v>
      </c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</row>
    <row r="460" spans="1:61" s="95" customFormat="1" ht="27.6" customHeight="1" x14ac:dyDescent="0.2">
      <c r="A460" s="9">
        <v>449</v>
      </c>
      <c r="B460" s="58" t="s">
        <v>493</v>
      </c>
      <c r="C460" s="9" t="s">
        <v>221</v>
      </c>
      <c r="D460" s="71">
        <v>9394000</v>
      </c>
      <c r="E460" s="9"/>
      <c r="F460" s="9"/>
      <c r="G460" s="62"/>
      <c r="H460" s="54">
        <v>6.5</v>
      </c>
      <c r="I460" s="34"/>
      <c r="J460" s="34"/>
      <c r="K460" s="34"/>
      <c r="L460" s="8">
        <v>0</v>
      </c>
      <c r="M460" s="8">
        <v>9394000</v>
      </c>
      <c r="N460" s="8">
        <f t="shared" si="149"/>
        <v>9394000</v>
      </c>
      <c r="O460" s="8"/>
      <c r="P460" s="61"/>
      <c r="Q460" s="8"/>
      <c r="R460" s="4">
        <v>0</v>
      </c>
      <c r="S460" s="143">
        <f t="shared" si="155"/>
        <v>7515200</v>
      </c>
      <c r="T460" s="4">
        <v>0</v>
      </c>
      <c r="U460" s="4">
        <f t="shared" si="158"/>
        <v>1878800</v>
      </c>
      <c r="V460" s="34"/>
      <c r="W460" s="34"/>
      <c r="X460" s="4"/>
      <c r="Y460" s="8">
        <v>103720</v>
      </c>
      <c r="Z460" s="143">
        <f t="shared" si="156"/>
        <v>1878800</v>
      </c>
      <c r="AA460" s="4">
        <v>610610</v>
      </c>
      <c r="AB460" s="8">
        <f t="shared" si="157"/>
        <v>610610</v>
      </c>
      <c r="AC460" s="4">
        <f t="shared" si="154"/>
        <v>488488</v>
      </c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</row>
    <row r="461" spans="1:61" s="95" customFormat="1" ht="27.6" customHeight="1" x14ac:dyDescent="0.2">
      <c r="A461" s="138">
        <v>450</v>
      </c>
      <c r="B461" s="58" t="s">
        <v>493</v>
      </c>
      <c r="C461" s="9" t="s">
        <v>221</v>
      </c>
      <c r="D461" s="71">
        <v>65405000</v>
      </c>
      <c r="E461" s="9"/>
      <c r="F461" s="9"/>
      <c r="G461" s="62"/>
      <c r="H461" s="54">
        <v>6.5</v>
      </c>
      <c r="I461" s="34"/>
      <c r="J461" s="34"/>
      <c r="K461" s="34"/>
      <c r="L461" s="8">
        <v>0</v>
      </c>
      <c r="M461" s="8">
        <v>65405000</v>
      </c>
      <c r="N461" s="8">
        <f t="shared" si="149"/>
        <v>65405000</v>
      </c>
      <c r="O461" s="8"/>
      <c r="P461" s="61"/>
      <c r="Q461" s="8"/>
      <c r="R461" s="4">
        <v>0</v>
      </c>
      <c r="S461" s="143">
        <f t="shared" si="155"/>
        <v>52324000</v>
      </c>
      <c r="T461" s="4">
        <v>0</v>
      </c>
      <c r="U461" s="4">
        <f t="shared" si="158"/>
        <v>13081000</v>
      </c>
      <c r="V461" s="34"/>
      <c r="W461" s="34"/>
      <c r="X461" s="4"/>
      <c r="Y461" s="8">
        <v>722143</v>
      </c>
      <c r="Z461" s="143">
        <f t="shared" si="156"/>
        <v>13081000</v>
      </c>
      <c r="AA461" s="4">
        <v>4251325</v>
      </c>
      <c r="AB461" s="8">
        <f t="shared" si="157"/>
        <v>4251325</v>
      </c>
      <c r="AC461" s="4">
        <f t="shared" si="154"/>
        <v>3401060</v>
      </c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</row>
    <row r="462" spans="1:61" s="95" customFormat="1" ht="27.6" customHeight="1" x14ac:dyDescent="0.2">
      <c r="A462" s="9">
        <v>451</v>
      </c>
      <c r="B462" s="58" t="s">
        <v>545</v>
      </c>
      <c r="C462" s="9" t="s">
        <v>221</v>
      </c>
      <c r="D462" s="71">
        <v>157267000</v>
      </c>
      <c r="E462" s="9"/>
      <c r="F462" s="9"/>
      <c r="G462" s="62"/>
      <c r="H462" s="54">
        <v>6.5</v>
      </c>
      <c r="I462" s="34"/>
      <c r="J462" s="34"/>
      <c r="K462" s="34"/>
      <c r="L462" s="8">
        <v>0</v>
      </c>
      <c r="M462" s="8">
        <v>157267000</v>
      </c>
      <c r="N462" s="8">
        <f t="shared" si="149"/>
        <v>157267000</v>
      </c>
      <c r="O462" s="8"/>
      <c r="P462" s="61"/>
      <c r="Q462" s="8"/>
      <c r="R462" s="4">
        <v>0</v>
      </c>
      <c r="S462" s="143">
        <f t="shared" si="155"/>
        <v>125813600</v>
      </c>
      <c r="T462" s="4">
        <v>0</v>
      </c>
      <c r="U462" s="4">
        <f t="shared" si="158"/>
        <v>31453400</v>
      </c>
      <c r="V462" s="34"/>
      <c r="W462" s="34"/>
      <c r="X462" s="4"/>
      <c r="Y462" s="8">
        <v>924213</v>
      </c>
      <c r="Z462" s="143">
        <f t="shared" si="156"/>
        <v>31453400</v>
      </c>
      <c r="AA462" s="4">
        <v>10222355</v>
      </c>
      <c r="AB462" s="8">
        <f t="shared" si="157"/>
        <v>10222355</v>
      </c>
      <c r="AC462" s="4">
        <f t="shared" si="154"/>
        <v>8177884</v>
      </c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</row>
    <row r="463" spans="1:61" s="95" customFormat="1" ht="27.6" customHeight="1" x14ac:dyDescent="0.2">
      <c r="A463" s="138">
        <v>452</v>
      </c>
      <c r="B463" s="58" t="s">
        <v>545</v>
      </c>
      <c r="C463" s="9" t="s">
        <v>221</v>
      </c>
      <c r="D463" s="71">
        <v>8309000</v>
      </c>
      <c r="E463" s="9"/>
      <c r="F463" s="9"/>
      <c r="G463" s="62"/>
      <c r="H463" s="54">
        <v>6.5</v>
      </c>
      <c r="I463" s="34"/>
      <c r="J463" s="34"/>
      <c r="K463" s="34"/>
      <c r="L463" s="8">
        <v>0</v>
      </c>
      <c r="M463" s="8">
        <v>8309000</v>
      </c>
      <c r="N463" s="8">
        <f t="shared" si="149"/>
        <v>8309000</v>
      </c>
      <c r="O463" s="8"/>
      <c r="P463" s="61"/>
      <c r="Q463" s="8"/>
      <c r="R463" s="4">
        <v>0</v>
      </c>
      <c r="S463" s="143">
        <f t="shared" si="155"/>
        <v>6647200</v>
      </c>
      <c r="T463" s="4">
        <v>0</v>
      </c>
      <c r="U463" s="4">
        <f t="shared" si="158"/>
        <v>1661800</v>
      </c>
      <c r="V463" s="34"/>
      <c r="W463" s="34"/>
      <c r="X463" s="4"/>
      <c r="Y463" s="8">
        <v>48830</v>
      </c>
      <c r="Z463" s="143">
        <f t="shared" si="156"/>
        <v>1661800</v>
      </c>
      <c r="AA463" s="4">
        <v>540085</v>
      </c>
      <c r="AB463" s="8">
        <f t="shared" si="157"/>
        <v>540085</v>
      </c>
      <c r="AC463" s="4">
        <f t="shared" si="154"/>
        <v>432068</v>
      </c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</row>
    <row r="464" spans="1:61" s="95" customFormat="1" ht="27.6" customHeight="1" x14ac:dyDescent="0.2">
      <c r="A464" s="9">
        <v>453</v>
      </c>
      <c r="B464" s="58" t="s">
        <v>545</v>
      </c>
      <c r="C464" s="9" t="s">
        <v>221</v>
      </c>
      <c r="D464" s="71">
        <v>162710000</v>
      </c>
      <c r="E464" s="9"/>
      <c r="F464" s="9"/>
      <c r="G464" s="62"/>
      <c r="H464" s="54">
        <v>6.5</v>
      </c>
      <c r="I464" s="34"/>
      <c r="J464" s="34"/>
      <c r="K464" s="34"/>
      <c r="L464" s="8">
        <v>0</v>
      </c>
      <c r="M464" s="8">
        <v>162710000</v>
      </c>
      <c r="N464" s="8">
        <f t="shared" si="149"/>
        <v>162710000</v>
      </c>
      <c r="O464" s="8"/>
      <c r="P464" s="61"/>
      <c r="Q464" s="8"/>
      <c r="R464" s="4">
        <v>0</v>
      </c>
      <c r="S464" s="143">
        <f t="shared" si="155"/>
        <v>130168000</v>
      </c>
      <c r="T464" s="4">
        <v>0</v>
      </c>
      <c r="U464" s="4">
        <f t="shared" si="158"/>
        <v>32542000</v>
      </c>
      <c r="V464" s="34"/>
      <c r="W464" s="34"/>
      <c r="X464" s="4"/>
      <c r="Y464" s="8">
        <v>956200</v>
      </c>
      <c r="Z464" s="143">
        <f t="shared" si="156"/>
        <v>32542000</v>
      </c>
      <c r="AA464" s="4">
        <v>10576150</v>
      </c>
      <c r="AB464" s="8">
        <f t="shared" si="157"/>
        <v>10576150</v>
      </c>
      <c r="AC464" s="4">
        <f t="shared" si="154"/>
        <v>8460920</v>
      </c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</row>
    <row r="465" spans="1:61" s="95" customFormat="1" ht="27.6" customHeight="1" x14ac:dyDescent="0.2">
      <c r="A465" s="138">
        <v>454</v>
      </c>
      <c r="B465" s="58" t="s">
        <v>497</v>
      </c>
      <c r="C465" s="9" t="s">
        <v>221</v>
      </c>
      <c r="D465" s="71">
        <v>72348000</v>
      </c>
      <c r="E465" s="9"/>
      <c r="F465" s="9"/>
      <c r="G465" s="62"/>
      <c r="H465" s="54">
        <v>6.5</v>
      </c>
      <c r="I465" s="34"/>
      <c r="J465" s="34"/>
      <c r="K465" s="34"/>
      <c r="L465" s="8">
        <v>0</v>
      </c>
      <c r="M465" s="8">
        <v>72348000</v>
      </c>
      <c r="N465" s="8">
        <f t="shared" si="149"/>
        <v>72348000</v>
      </c>
      <c r="O465" s="8"/>
      <c r="P465" s="61"/>
      <c r="Q465" s="8"/>
      <c r="R465" s="4">
        <v>0</v>
      </c>
      <c r="S465" s="143">
        <f t="shared" si="155"/>
        <v>57878400</v>
      </c>
      <c r="T465" s="4">
        <v>0</v>
      </c>
      <c r="U465" s="4">
        <f t="shared" si="158"/>
        <v>14469600</v>
      </c>
      <c r="V465" s="34"/>
      <c r="W465" s="34"/>
      <c r="X465" s="4"/>
      <c r="Y465" s="8">
        <v>322097</v>
      </c>
      <c r="Z465" s="143">
        <f t="shared" si="156"/>
        <v>14469600</v>
      </c>
      <c r="AA465" s="4">
        <v>4702620</v>
      </c>
      <c r="AB465" s="8">
        <f t="shared" si="157"/>
        <v>4702620</v>
      </c>
      <c r="AC465" s="4">
        <f t="shared" si="154"/>
        <v>3762096</v>
      </c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</row>
    <row r="466" spans="1:61" s="95" customFormat="1" ht="27.6" customHeight="1" x14ac:dyDescent="0.2">
      <c r="A466" s="9">
        <v>455</v>
      </c>
      <c r="B466" s="58" t="s">
        <v>497</v>
      </c>
      <c r="C466" s="9" t="s">
        <v>221</v>
      </c>
      <c r="D466" s="71">
        <v>60706000</v>
      </c>
      <c r="E466" s="9"/>
      <c r="F466" s="9"/>
      <c r="G466" s="62"/>
      <c r="H466" s="54">
        <v>6.5</v>
      </c>
      <c r="I466" s="34"/>
      <c r="J466" s="34"/>
      <c r="K466" s="34"/>
      <c r="L466" s="8">
        <v>0</v>
      </c>
      <c r="M466" s="8">
        <v>60706000</v>
      </c>
      <c r="N466" s="8">
        <f t="shared" si="149"/>
        <v>60706000</v>
      </c>
      <c r="O466" s="8"/>
      <c r="P466" s="61"/>
      <c r="Q466" s="8"/>
      <c r="R466" s="4">
        <v>0</v>
      </c>
      <c r="S466" s="143">
        <f t="shared" si="155"/>
        <v>48564800</v>
      </c>
      <c r="T466" s="4">
        <v>0</v>
      </c>
      <c r="U466" s="4">
        <f t="shared" si="158"/>
        <v>12141200</v>
      </c>
      <c r="V466" s="34"/>
      <c r="W466" s="34"/>
      <c r="X466" s="4"/>
      <c r="Y466" s="8">
        <v>270266</v>
      </c>
      <c r="Z466" s="143">
        <f t="shared" si="156"/>
        <v>12141200</v>
      </c>
      <c r="AA466" s="4">
        <v>3945890</v>
      </c>
      <c r="AB466" s="8">
        <f t="shared" si="157"/>
        <v>3945890</v>
      </c>
      <c r="AC466" s="4">
        <f t="shared" si="154"/>
        <v>3156712</v>
      </c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</row>
    <row r="467" spans="1:61" s="95" customFormat="1" ht="27.6" customHeight="1" x14ac:dyDescent="0.2">
      <c r="A467" s="138">
        <v>456</v>
      </c>
      <c r="B467" s="58" t="s">
        <v>547</v>
      </c>
      <c r="C467" s="9" t="s">
        <v>221</v>
      </c>
      <c r="D467" s="71">
        <v>8848000</v>
      </c>
      <c r="E467" s="9"/>
      <c r="F467" s="9"/>
      <c r="G467" s="62"/>
      <c r="H467" s="54">
        <v>6.5</v>
      </c>
      <c r="I467" s="34"/>
      <c r="J467" s="34"/>
      <c r="K467" s="34"/>
      <c r="L467" s="8">
        <v>0</v>
      </c>
      <c r="M467" s="8">
        <v>8848000</v>
      </c>
      <c r="N467" s="8">
        <f t="shared" si="149"/>
        <v>8848000</v>
      </c>
      <c r="O467" s="8"/>
      <c r="P467" s="61"/>
      <c r="Q467" s="8"/>
      <c r="R467" s="4">
        <v>0</v>
      </c>
      <c r="S467" s="143">
        <f t="shared" si="155"/>
        <v>7078400</v>
      </c>
      <c r="T467" s="4">
        <v>0</v>
      </c>
      <c r="U467" s="4">
        <f t="shared" si="158"/>
        <v>1769600</v>
      </c>
      <c r="V467" s="34"/>
      <c r="W467" s="34"/>
      <c r="X467" s="4"/>
      <c r="Y467" s="8">
        <v>23635</v>
      </c>
      <c r="Z467" s="143">
        <f t="shared" si="156"/>
        <v>1769600</v>
      </c>
      <c r="AA467" s="4">
        <v>575120</v>
      </c>
      <c r="AB467" s="8">
        <f t="shared" si="157"/>
        <v>575120</v>
      </c>
      <c r="AC467" s="4">
        <f t="shared" si="154"/>
        <v>460096</v>
      </c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</row>
    <row r="468" spans="1:61" s="95" customFormat="1" ht="27.6" customHeight="1" x14ac:dyDescent="0.2">
      <c r="A468" s="9">
        <v>457</v>
      </c>
      <c r="B468" s="58" t="s">
        <v>548</v>
      </c>
      <c r="C468" s="9" t="s">
        <v>221</v>
      </c>
      <c r="D468" s="71">
        <v>67792000</v>
      </c>
      <c r="E468" s="9"/>
      <c r="F468" s="9"/>
      <c r="G468" s="62"/>
      <c r="H468" s="54">
        <v>6.5</v>
      </c>
      <c r="I468" s="34"/>
      <c r="J468" s="34"/>
      <c r="K468" s="34"/>
      <c r="L468" s="8">
        <v>0</v>
      </c>
      <c r="M468" s="8">
        <v>67792000</v>
      </c>
      <c r="N468" s="8">
        <f t="shared" si="149"/>
        <v>67792000</v>
      </c>
      <c r="O468" s="8"/>
      <c r="P468" s="61"/>
      <c r="Q468" s="8"/>
      <c r="R468" s="4">
        <v>0</v>
      </c>
      <c r="S468" s="143">
        <f t="shared" si="155"/>
        <v>54233600</v>
      </c>
      <c r="T468" s="4">
        <v>0</v>
      </c>
      <c r="U468" s="4">
        <f t="shared" si="158"/>
        <v>13558400</v>
      </c>
      <c r="V468" s="34"/>
      <c r="W468" s="34"/>
      <c r="X468" s="4"/>
      <c r="Y468" s="8">
        <v>156943</v>
      </c>
      <c r="Z468" s="143">
        <f t="shared" si="156"/>
        <v>13558400</v>
      </c>
      <c r="AA468" s="4">
        <v>4406480</v>
      </c>
      <c r="AB468" s="8">
        <f t="shared" si="157"/>
        <v>4406480</v>
      </c>
      <c r="AC468" s="4">
        <f t="shared" si="154"/>
        <v>3525184</v>
      </c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</row>
    <row r="469" spans="1:61" s="95" customFormat="1" ht="27.6" customHeight="1" x14ac:dyDescent="0.2">
      <c r="A469" s="138">
        <v>458</v>
      </c>
      <c r="B469" s="58" t="s">
        <v>548</v>
      </c>
      <c r="C469" s="9" t="s">
        <v>221</v>
      </c>
      <c r="D469" s="71">
        <v>31253000</v>
      </c>
      <c r="E469" s="9"/>
      <c r="F469" s="9"/>
      <c r="G469" s="62"/>
      <c r="H469" s="54">
        <v>6.5</v>
      </c>
      <c r="I469" s="34"/>
      <c r="J469" s="34"/>
      <c r="K469" s="34"/>
      <c r="L469" s="8">
        <v>0</v>
      </c>
      <c r="M469" s="8">
        <v>31253000</v>
      </c>
      <c r="N469" s="8">
        <f t="shared" si="149"/>
        <v>31253000</v>
      </c>
      <c r="O469" s="8"/>
      <c r="P469" s="61"/>
      <c r="Q469" s="8"/>
      <c r="R469" s="4">
        <v>0</v>
      </c>
      <c r="S469" s="143">
        <f t="shared" si="155"/>
        <v>25002400</v>
      </c>
      <c r="T469" s="4">
        <v>0</v>
      </c>
      <c r="U469" s="4">
        <f t="shared" si="158"/>
        <v>6250600</v>
      </c>
      <c r="V469" s="34"/>
      <c r="W469" s="34"/>
      <c r="X469" s="4"/>
      <c r="Y469" s="8">
        <v>72353</v>
      </c>
      <c r="Z469" s="143">
        <f t="shared" si="156"/>
        <v>6250600</v>
      </c>
      <c r="AA469" s="4">
        <v>2031445</v>
      </c>
      <c r="AB469" s="8">
        <f t="shared" si="157"/>
        <v>2031445</v>
      </c>
      <c r="AC469" s="4">
        <f t="shared" si="154"/>
        <v>1625156</v>
      </c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</row>
    <row r="470" spans="1:61" s="95" customFormat="1" ht="27.6" customHeight="1" x14ac:dyDescent="0.2">
      <c r="A470" s="9">
        <v>459</v>
      </c>
      <c r="B470" s="58" t="s">
        <v>498</v>
      </c>
      <c r="C470" s="9" t="s">
        <v>221</v>
      </c>
      <c r="D470" s="71">
        <v>3140000</v>
      </c>
      <c r="E470" s="9"/>
      <c r="F470" s="9"/>
      <c r="G470" s="62"/>
      <c r="H470" s="54">
        <v>6.5</v>
      </c>
      <c r="I470" s="34"/>
      <c r="J470" s="34"/>
      <c r="K470" s="34"/>
      <c r="L470" s="8">
        <v>0</v>
      </c>
      <c r="M470" s="8">
        <v>3140000</v>
      </c>
      <c r="N470" s="8">
        <f t="shared" si="149"/>
        <v>3140000</v>
      </c>
      <c r="O470" s="8"/>
      <c r="P470" s="61"/>
      <c r="Q470" s="8"/>
      <c r="R470" s="4">
        <v>0</v>
      </c>
      <c r="S470" s="143">
        <f t="shared" si="155"/>
        <v>2512000</v>
      </c>
      <c r="T470" s="4">
        <v>0</v>
      </c>
      <c r="U470" s="4">
        <f t="shared" si="158"/>
        <v>628000</v>
      </c>
      <c r="V470" s="34"/>
      <c r="W470" s="34"/>
      <c r="X470" s="4"/>
      <c r="Y470" s="8">
        <v>6151</v>
      </c>
      <c r="Z470" s="143">
        <f t="shared" si="156"/>
        <v>628000</v>
      </c>
      <c r="AA470" s="4">
        <v>204100</v>
      </c>
      <c r="AB470" s="8">
        <f t="shared" si="157"/>
        <v>204100</v>
      </c>
      <c r="AC470" s="4">
        <f t="shared" si="154"/>
        <v>163280</v>
      </c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</row>
    <row r="471" spans="1:61" s="95" customFormat="1" ht="27.6" customHeight="1" x14ac:dyDescent="0.2">
      <c r="A471" s="138">
        <v>460</v>
      </c>
      <c r="B471" s="58" t="s">
        <v>498</v>
      </c>
      <c r="C471" s="9" t="s">
        <v>221</v>
      </c>
      <c r="D471" s="71">
        <v>6141000</v>
      </c>
      <c r="E471" s="9"/>
      <c r="F471" s="9"/>
      <c r="G471" s="62"/>
      <c r="H471" s="54">
        <v>6.5</v>
      </c>
      <c r="I471" s="34"/>
      <c r="J471" s="34"/>
      <c r="K471" s="34"/>
      <c r="L471" s="8">
        <v>0</v>
      </c>
      <c r="M471" s="8">
        <v>6141000</v>
      </c>
      <c r="N471" s="8">
        <f t="shared" si="149"/>
        <v>6141000</v>
      </c>
      <c r="O471" s="8"/>
      <c r="P471" s="61"/>
      <c r="Q471" s="8"/>
      <c r="R471" s="4">
        <v>0</v>
      </c>
      <c r="S471" s="143">
        <f t="shared" si="155"/>
        <v>4912800</v>
      </c>
      <c r="T471" s="4">
        <v>0</v>
      </c>
      <c r="U471" s="4">
        <f t="shared" si="158"/>
        <v>1228200</v>
      </c>
      <c r="V471" s="34"/>
      <c r="W471" s="34"/>
      <c r="X471" s="4"/>
      <c r="Y471" s="8">
        <v>12030</v>
      </c>
      <c r="Z471" s="143">
        <f t="shared" si="156"/>
        <v>1228200</v>
      </c>
      <c r="AA471" s="4">
        <v>399165</v>
      </c>
      <c r="AB471" s="8">
        <f t="shared" si="157"/>
        <v>399165</v>
      </c>
      <c r="AC471" s="4">
        <f t="shared" si="154"/>
        <v>319332</v>
      </c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</row>
    <row r="472" spans="1:61" s="95" customFormat="1" ht="27.6" customHeight="1" x14ac:dyDescent="0.2">
      <c r="A472" s="9">
        <v>461</v>
      </c>
      <c r="B472" s="58" t="s">
        <v>552</v>
      </c>
      <c r="C472" s="9" t="s">
        <v>221</v>
      </c>
      <c r="D472" s="71">
        <v>129960000</v>
      </c>
      <c r="E472" s="9"/>
      <c r="F472" s="9"/>
      <c r="G472" s="62"/>
      <c r="H472" s="54">
        <v>6.5</v>
      </c>
      <c r="I472" s="34"/>
      <c r="J472" s="34"/>
      <c r="K472" s="34"/>
      <c r="L472" s="8">
        <v>0</v>
      </c>
      <c r="M472" s="8">
        <v>129960000</v>
      </c>
      <c r="N472" s="8">
        <f t="shared" si="149"/>
        <v>129960000</v>
      </c>
      <c r="O472" s="8"/>
      <c r="P472" s="61"/>
      <c r="Q472" s="8"/>
      <c r="R472" s="4">
        <v>0</v>
      </c>
      <c r="S472" s="143">
        <f t="shared" si="155"/>
        <v>103968000</v>
      </c>
      <c r="T472" s="4">
        <v>0</v>
      </c>
      <c r="U472" s="4">
        <f t="shared" si="158"/>
        <v>25992000</v>
      </c>
      <c r="V472" s="34"/>
      <c r="W472" s="34"/>
      <c r="X472" s="4"/>
      <c r="Y472" s="8">
        <v>92574</v>
      </c>
      <c r="Z472" s="143">
        <f t="shared" si="156"/>
        <v>25992000</v>
      </c>
      <c r="AA472" s="4">
        <v>8447400</v>
      </c>
      <c r="AB472" s="8">
        <f t="shared" si="157"/>
        <v>8447400</v>
      </c>
      <c r="AC472" s="4">
        <f t="shared" si="154"/>
        <v>6757920</v>
      </c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</row>
    <row r="473" spans="1:61" s="95" customFormat="1" ht="27.6" customHeight="1" x14ac:dyDescent="0.2">
      <c r="A473" s="138">
        <v>462</v>
      </c>
      <c r="B473" s="58" t="s">
        <v>552</v>
      </c>
      <c r="C473" s="9" t="s">
        <v>221</v>
      </c>
      <c r="D473" s="71">
        <v>588000</v>
      </c>
      <c r="E473" s="9"/>
      <c r="F473" s="9"/>
      <c r="G473" s="62"/>
      <c r="H473" s="54">
        <v>6.5</v>
      </c>
      <c r="I473" s="34"/>
      <c r="J473" s="34"/>
      <c r="K473" s="34"/>
      <c r="L473" s="8">
        <v>0</v>
      </c>
      <c r="M473" s="8">
        <v>588000</v>
      </c>
      <c r="N473" s="8">
        <f t="shared" si="149"/>
        <v>588000</v>
      </c>
      <c r="O473" s="8"/>
      <c r="P473" s="61"/>
      <c r="Q473" s="8"/>
      <c r="R473" s="4">
        <v>0</v>
      </c>
      <c r="S473" s="143">
        <f t="shared" si="155"/>
        <v>470400</v>
      </c>
      <c r="T473" s="4">
        <v>0</v>
      </c>
      <c r="U473" s="4">
        <f t="shared" si="158"/>
        <v>117600</v>
      </c>
      <c r="V473" s="34"/>
      <c r="W473" s="34"/>
      <c r="X473" s="4"/>
      <c r="Y473" s="8">
        <v>419</v>
      </c>
      <c r="Z473" s="143">
        <f t="shared" si="156"/>
        <v>117600</v>
      </c>
      <c r="AA473" s="4">
        <v>38220</v>
      </c>
      <c r="AB473" s="8">
        <f t="shared" si="157"/>
        <v>38220</v>
      </c>
      <c r="AC473" s="4">
        <f t="shared" si="154"/>
        <v>30576</v>
      </c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</row>
    <row r="474" spans="1:61" s="95" customFormat="1" ht="27.6" customHeight="1" x14ac:dyDescent="0.2">
      <c r="A474" s="9">
        <v>463</v>
      </c>
      <c r="B474" s="58" t="s">
        <v>552</v>
      </c>
      <c r="C474" s="9" t="s">
        <v>221</v>
      </c>
      <c r="D474" s="71">
        <v>84745000</v>
      </c>
      <c r="E474" s="9"/>
      <c r="F474" s="9"/>
      <c r="G474" s="62"/>
      <c r="H474" s="54">
        <v>6.5</v>
      </c>
      <c r="I474" s="34"/>
      <c r="J474" s="34"/>
      <c r="K474" s="34"/>
      <c r="L474" s="8">
        <v>0</v>
      </c>
      <c r="M474" s="8">
        <v>84745000</v>
      </c>
      <c r="N474" s="8">
        <f>M474-T474</f>
        <v>84745000</v>
      </c>
      <c r="O474" s="8"/>
      <c r="P474" s="61"/>
      <c r="Q474" s="8"/>
      <c r="R474" s="4">
        <v>0</v>
      </c>
      <c r="S474" s="143">
        <f t="shared" si="155"/>
        <v>67796000</v>
      </c>
      <c r="T474" s="4">
        <v>0</v>
      </c>
      <c r="U474" s="4">
        <f t="shared" si="158"/>
        <v>16949000</v>
      </c>
      <c r="V474" s="34"/>
      <c r="W474" s="34"/>
      <c r="X474" s="4"/>
      <c r="Y474" s="8">
        <v>60366</v>
      </c>
      <c r="Z474" s="143">
        <f t="shared" si="156"/>
        <v>16949000</v>
      </c>
      <c r="AA474" s="4">
        <v>5508425</v>
      </c>
      <c r="AB474" s="8">
        <f t="shared" si="157"/>
        <v>5508425</v>
      </c>
      <c r="AC474" s="4">
        <f t="shared" si="154"/>
        <v>4406740</v>
      </c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</row>
    <row r="475" spans="1:61" s="95" customFormat="1" ht="27.6" customHeight="1" x14ac:dyDescent="0.2">
      <c r="A475" s="138">
        <v>464</v>
      </c>
      <c r="B475" s="58" t="s">
        <v>552</v>
      </c>
      <c r="C475" s="9" t="s">
        <v>221</v>
      </c>
      <c r="D475" s="71">
        <v>20710000</v>
      </c>
      <c r="E475" s="9"/>
      <c r="F475" s="9"/>
      <c r="G475" s="62"/>
      <c r="H475" s="54">
        <v>6.5</v>
      </c>
      <c r="I475" s="34"/>
      <c r="J475" s="34"/>
      <c r="K475" s="34"/>
      <c r="L475" s="8">
        <v>0</v>
      </c>
      <c r="M475" s="8">
        <v>20710000</v>
      </c>
      <c r="N475" s="8">
        <f>M475-T475</f>
        <v>20710000</v>
      </c>
      <c r="O475" s="8"/>
      <c r="P475" s="61"/>
      <c r="Q475" s="8"/>
      <c r="R475" s="4">
        <v>0</v>
      </c>
      <c r="S475" s="143">
        <f t="shared" si="155"/>
        <v>16568000</v>
      </c>
      <c r="T475" s="4">
        <v>0</v>
      </c>
      <c r="U475" s="4">
        <f t="shared" si="158"/>
        <v>4142000</v>
      </c>
      <c r="V475" s="34"/>
      <c r="W475" s="34"/>
      <c r="X475" s="4"/>
      <c r="Y475" s="8">
        <v>14752</v>
      </c>
      <c r="Z475" s="143">
        <f t="shared" si="156"/>
        <v>4142000</v>
      </c>
      <c r="AA475" s="4">
        <v>1346150</v>
      </c>
      <c r="AB475" s="8">
        <f t="shared" si="157"/>
        <v>1346150</v>
      </c>
      <c r="AC475" s="4">
        <f t="shared" si="154"/>
        <v>1076920</v>
      </c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</row>
    <row r="476" spans="1:61" s="95" customFormat="1" ht="27.6" customHeight="1" x14ac:dyDescent="0.2">
      <c r="A476" s="9">
        <v>465</v>
      </c>
      <c r="B476" s="58" t="s">
        <v>556</v>
      </c>
      <c r="C476" s="9" t="s">
        <v>221</v>
      </c>
      <c r="D476" s="71">
        <v>12882000</v>
      </c>
      <c r="E476" s="9"/>
      <c r="F476" s="9"/>
      <c r="G476" s="62"/>
      <c r="H476" s="54">
        <v>7.5</v>
      </c>
      <c r="I476" s="34"/>
      <c r="J476" s="34"/>
      <c r="K476" s="34"/>
      <c r="L476" s="8"/>
      <c r="M476" s="8">
        <v>12882000</v>
      </c>
      <c r="N476" s="8">
        <v>12882000</v>
      </c>
      <c r="O476" s="8"/>
      <c r="P476" s="61"/>
      <c r="Q476" s="8"/>
      <c r="R476" s="4"/>
      <c r="S476" s="143">
        <f>N476-U476</f>
        <v>12882000</v>
      </c>
      <c r="T476" s="4">
        <v>0</v>
      </c>
      <c r="U476" s="4">
        <v>0</v>
      </c>
      <c r="V476" s="34"/>
      <c r="W476" s="34"/>
      <c r="X476" s="4"/>
      <c r="Y476" s="8"/>
      <c r="Z476" s="8">
        <f>D476/5</f>
        <v>2576400</v>
      </c>
      <c r="AA476" s="4">
        <v>794096</v>
      </c>
      <c r="AB476" s="8">
        <f>N476*7.5/100</f>
        <v>966150</v>
      </c>
      <c r="AC476" s="4">
        <f t="shared" si="154"/>
        <v>966150</v>
      </c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</row>
    <row r="477" spans="1:61" s="95" customFormat="1" ht="27.6" customHeight="1" x14ac:dyDescent="0.2">
      <c r="A477" s="138">
        <v>466</v>
      </c>
      <c r="B477" s="58" t="s">
        <v>556</v>
      </c>
      <c r="C477" s="9" t="s">
        <v>221</v>
      </c>
      <c r="D477" s="71">
        <v>36884000</v>
      </c>
      <c r="E477" s="9"/>
      <c r="F477" s="9"/>
      <c r="G477" s="62"/>
      <c r="H477" s="54">
        <v>7.5</v>
      </c>
      <c r="I477" s="34"/>
      <c r="J477" s="34"/>
      <c r="K477" s="34"/>
      <c r="L477" s="8"/>
      <c r="M477" s="8">
        <v>36884000</v>
      </c>
      <c r="N477" s="8">
        <v>36884000</v>
      </c>
      <c r="O477" s="8"/>
      <c r="P477" s="61"/>
      <c r="Q477" s="8"/>
      <c r="R477" s="4"/>
      <c r="S477" s="143">
        <f t="shared" ref="S477:S530" si="159">N477-U477</f>
        <v>36884000</v>
      </c>
      <c r="T477" s="4">
        <v>0</v>
      </c>
      <c r="U477" s="4">
        <v>0</v>
      </c>
      <c r="V477" s="34"/>
      <c r="W477" s="34"/>
      <c r="X477" s="4"/>
      <c r="Y477" s="8"/>
      <c r="Z477" s="8">
        <f t="shared" ref="Z477:Z504" si="160">D477/5</f>
        <v>7376800</v>
      </c>
      <c r="AA477" s="4">
        <v>2273671</v>
      </c>
      <c r="AB477" s="8">
        <f t="shared" ref="AB477:AB496" si="161">N477*7.5/100</f>
        <v>2766300</v>
      </c>
      <c r="AC477" s="4">
        <f t="shared" si="154"/>
        <v>2766300</v>
      </c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</row>
    <row r="478" spans="1:61" s="95" customFormat="1" ht="27.6" customHeight="1" x14ac:dyDescent="0.2">
      <c r="A478" s="9">
        <v>467</v>
      </c>
      <c r="B478" s="58" t="s">
        <v>557</v>
      </c>
      <c r="C478" s="9" t="s">
        <v>221</v>
      </c>
      <c r="D478" s="71">
        <v>9635000</v>
      </c>
      <c r="E478" s="9"/>
      <c r="F478" s="9"/>
      <c r="G478" s="62"/>
      <c r="H478" s="54">
        <v>7.5</v>
      </c>
      <c r="I478" s="34"/>
      <c r="J478" s="34"/>
      <c r="K478" s="34"/>
      <c r="L478" s="8"/>
      <c r="M478" s="8">
        <v>9635000</v>
      </c>
      <c r="N478" s="8">
        <v>9635000</v>
      </c>
      <c r="O478" s="8"/>
      <c r="P478" s="61"/>
      <c r="Q478" s="8"/>
      <c r="R478" s="4"/>
      <c r="S478" s="143">
        <f t="shared" si="159"/>
        <v>9635000</v>
      </c>
      <c r="T478" s="4">
        <v>0</v>
      </c>
      <c r="U478" s="4">
        <v>0</v>
      </c>
      <c r="V478" s="34"/>
      <c r="W478" s="34"/>
      <c r="X478" s="4"/>
      <c r="Y478" s="8"/>
      <c r="Z478" s="8">
        <f t="shared" si="160"/>
        <v>1927000</v>
      </c>
      <c r="AA478" s="4">
        <v>586019</v>
      </c>
      <c r="AB478" s="8">
        <f t="shared" si="161"/>
        <v>722625</v>
      </c>
      <c r="AC478" s="4">
        <f t="shared" si="154"/>
        <v>722625</v>
      </c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</row>
    <row r="479" spans="1:61" s="95" customFormat="1" ht="27.6" customHeight="1" x14ac:dyDescent="0.2">
      <c r="A479" s="138">
        <v>468</v>
      </c>
      <c r="B479" s="58" t="s">
        <v>558</v>
      </c>
      <c r="C479" s="9" t="s">
        <v>221</v>
      </c>
      <c r="D479" s="71">
        <v>168770000</v>
      </c>
      <c r="E479" s="9"/>
      <c r="F479" s="9"/>
      <c r="G479" s="62"/>
      <c r="H479" s="54">
        <v>7.5</v>
      </c>
      <c r="I479" s="34"/>
      <c r="J479" s="34"/>
      <c r="K479" s="34"/>
      <c r="L479" s="8"/>
      <c r="M479" s="8">
        <v>168770000</v>
      </c>
      <c r="N479" s="8">
        <v>168770000</v>
      </c>
      <c r="O479" s="8"/>
      <c r="P479" s="61"/>
      <c r="Q479" s="8"/>
      <c r="R479" s="4"/>
      <c r="S479" s="143">
        <f t="shared" si="159"/>
        <v>168770000</v>
      </c>
      <c r="T479" s="4">
        <v>0</v>
      </c>
      <c r="U479" s="4">
        <v>0</v>
      </c>
      <c r="V479" s="34"/>
      <c r="W479" s="34"/>
      <c r="X479" s="4"/>
      <c r="Y479" s="8"/>
      <c r="Z479" s="8">
        <f t="shared" si="160"/>
        <v>33754000</v>
      </c>
      <c r="AA479" s="8">
        <f>AB479/365*295</f>
        <v>10230236.301369864</v>
      </c>
      <c r="AB479" s="8">
        <f t="shared" si="161"/>
        <v>12657750</v>
      </c>
      <c r="AC479" s="4">
        <f t="shared" si="154"/>
        <v>12657750</v>
      </c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</row>
    <row r="480" spans="1:61" s="95" customFormat="1" ht="27.6" customHeight="1" x14ac:dyDescent="0.2">
      <c r="A480" s="9">
        <v>469</v>
      </c>
      <c r="B480" s="58" t="s">
        <v>565</v>
      </c>
      <c r="C480" s="9" t="s">
        <v>221</v>
      </c>
      <c r="D480" s="71">
        <v>79151000</v>
      </c>
      <c r="E480" s="9"/>
      <c r="F480" s="9"/>
      <c r="G480" s="62"/>
      <c r="H480" s="54">
        <v>7.5</v>
      </c>
      <c r="I480" s="34"/>
      <c r="J480" s="34"/>
      <c r="K480" s="34"/>
      <c r="L480" s="8"/>
      <c r="M480" s="8">
        <v>79151000</v>
      </c>
      <c r="N480" s="8">
        <v>79151000</v>
      </c>
      <c r="O480" s="8"/>
      <c r="P480" s="61"/>
      <c r="Q480" s="8"/>
      <c r="R480" s="4"/>
      <c r="S480" s="143">
        <f t="shared" si="159"/>
        <v>79151000</v>
      </c>
      <c r="T480" s="4">
        <v>0</v>
      </c>
      <c r="U480" s="4">
        <v>0</v>
      </c>
      <c r="V480" s="34"/>
      <c r="W480" s="34"/>
      <c r="X480" s="4"/>
      <c r="Y480" s="8"/>
      <c r="Z480" s="8">
        <f t="shared" si="160"/>
        <v>15830200</v>
      </c>
      <c r="AA480" s="8">
        <f>AB480/365*268</f>
        <v>4358726.3013698626</v>
      </c>
      <c r="AB480" s="8">
        <f t="shared" si="161"/>
        <v>5936325</v>
      </c>
      <c r="AC480" s="4">
        <f t="shared" si="154"/>
        <v>5936325</v>
      </c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</row>
    <row r="481" spans="1:61" s="95" customFormat="1" ht="27.6" customHeight="1" x14ac:dyDescent="0.2">
      <c r="A481" s="138">
        <v>470</v>
      </c>
      <c r="B481" s="58" t="s">
        <v>565</v>
      </c>
      <c r="C481" s="9" t="s">
        <v>221</v>
      </c>
      <c r="D481" s="71">
        <v>34002000</v>
      </c>
      <c r="E481" s="9"/>
      <c r="F481" s="9"/>
      <c r="G481" s="62"/>
      <c r="H481" s="54">
        <v>7.5</v>
      </c>
      <c r="I481" s="34"/>
      <c r="J481" s="34"/>
      <c r="K481" s="34"/>
      <c r="L481" s="8"/>
      <c r="M481" s="8">
        <v>34002000</v>
      </c>
      <c r="N481" s="8">
        <v>34002000</v>
      </c>
      <c r="O481" s="8"/>
      <c r="P481" s="61"/>
      <c r="Q481" s="8"/>
      <c r="R481" s="4"/>
      <c r="S481" s="143">
        <f t="shared" si="159"/>
        <v>34002000</v>
      </c>
      <c r="T481" s="4">
        <v>0</v>
      </c>
      <c r="U481" s="4">
        <v>0</v>
      </c>
      <c r="V481" s="34"/>
      <c r="W481" s="34"/>
      <c r="X481" s="4"/>
      <c r="Y481" s="8"/>
      <c r="Z481" s="8">
        <f t="shared" si="160"/>
        <v>6800400</v>
      </c>
      <c r="AA481" s="8">
        <f>AB481/365*268</f>
        <v>1872438.9041095891</v>
      </c>
      <c r="AB481" s="8">
        <f t="shared" si="161"/>
        <v>2550150</v>
      </c>
      <c r="AC481" s="4">
        <f t="shared" si="154"/>
        <v>2550150</v>
      </c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</row>
    <row r="482" spans="1:61" s="95" customFormat="1" ht="27.6" customHeight="1" x14ac:dyDescent="0.2">
      <c r="A482" s="9">
        <v>471</v>
      </c>
      <c r="B482" s="58" t="s">
        <v>565</v>
      </c>
      <c r="C482" s="9" t="s">
        <v>221</v>
      </c>
      <c r="D482" s="71">
        <v>20408000</v>
      </c>
      <c r="E482" s="9"/>
      <c r="F482" s="9"/>
      <c r="G482" s="62"/>
      <c r="H482" s="54">
        <v>7.5</v>
      </c>
      <c r="I482" s="34"/>
      <c r="J482" s="34"/>
      <c r="K482" s="34"/>
      <c r="L482" s="8"/>
      <c r="M482" s="8">
        <v>20408000</v>
      </c>
      <c r="N482" s="8">
        <v>20408000</v>
      </c>
      <c r="O482" s="8"/>
      <c r="P482" s="61"/>
      <c r="Q482" s="8"/>
      <c r="R482" s="4"/>
      <c r="S482" s="143">
        <f t="shared" si="159"/>
        <v>20408000</v>
      </c>
      <c r="T482" s="4">
        <v>0</v>
      </c>
      <c r="U482" s="4">
        <v>0</v>
      </c>
      <c r="V482" s="34"/>
      <c r="W482" s="34"/>
      <c r="X482" s="4"/>
      <c r="Y482" s="8"/>
      <c r="Z482" s="8">
        <f t="shared" si="160"/>
        <v>4081600</v>
      </c>
      <c r="AA482" s="8">
        <f>AB482/365*268</f>
        <v>1123837.8082191781</v>
      </c>
      <c r="AB482" s="8">
        <f t="shared" si="161"/>
        <v>1530600</v>
      </c>
      <c r="AC482" s="4">
        <f t="shared" si="154"/>
        <v>1530600</v>
      </c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</row>
    <row r="483" spans="1:61" s="95" customFormat="1" ht="27.6" customHeight="1" x14ac:dyDescent="0.2">
      <c r="A483" s="138">
        <v>472</v>
      </c>
      <c r="B483" s="58" t="s">
        <v>567</v>
      </c>
      <c r="C483" s="9" t="s">
        <v>221</v>
      </c>
      <c r="D483" s="71">
        <v>49226000</v>
      </c>
      <c r="E483" s="9"/>
      <c r="F483" s="9"/>
      <c r="G483" s="62"/>
      <c r="H483" s="54">
        <v>7.5</v>
      </c>
      <c r="I483" s="34"/>
      <c r="J483" s="34"/>
      <c r="K483" s="34"/>
      <c r="L483" s="8"/>
      <c r="M483" s="8">
        <v>49226000</v>
      </c>
      <c r="N483" s="8">
        <v>49226000</v>
      </c>
      <c r="O483" s="8"/>
      <c r="P483" s="61"/>
      <c r="Q483" s="8"/>
      <c r="R483" s="4"/>
      <c r="S483" s="143">
        <f t="shared" si="159"/>
        <v>49226000</v>
      </c>
      <c r="T483" s="4">
        <v>0</v>
      </c>
      <c r="U483" s="4">
        <v>0</v>
      </c>
      <c r="V483" s="34"/>
      <c r="W483" s="34"/>
      <c r="X483" s="4"/>
      <c r="Y483" s="8"/>
      <c r="Z483" s="8">
        <f t="shared" si="160"/>
        <v>9845200</v>
      </c>
      <c r="AA483" s="8">
        <f>AB483/365*239</f>
        <v>2417468.6301369863</v>
      </c>
      <c r="AB483" s="8">
        <f t="shared" si="161"/>
        <v>3691950</v>
      </c>
      <c r="AC483" s="4">
        <f t="shared" si="154"/>
        <v>3691950</v>
      </c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</row>
    <row r="484" spans="1:61" s="95" customFormat="1" ht="27.6" customHeight="1" x14ac:dyDescent="0.2">
      <c r="A484" s="9">
        <v>473</v>
      </c>
      <c r="B484" s="58" t="s">
        <v>567</v>
      </c>
      <c r="C484" s="9" t="s">
        <v>221</v>
      </c>
      <c r="D484" s="71">
        <v>13744000</v>
      </c>
      <c r="E484" s="9"/>
      <c r="F484" s="9"/>
      <c r="G484" s="62"/>
      <c r="H484" s="54">
        <v>7.5</v>
      </c>
      <c r="I484" s="34"/>
      <c r="J484" s="34"/>
      <c r="K484" s="34"/>
      <c r="L484" s="8"/>
      <c r="M484" s="8">
        <v>13744000</v>
      </c>
      <c r="N484" s="8">
        <v>13744000</v>
      </c>
      <c r="O484" s="8"/>
      <c r="P484" s="61"/>
      <c r="Q484" s="8"/>
      <c r="R484" s="4"/>
      <c r="S484" s="143">
        <f t="shared" si="159"/>
        <v>13744000</v>
      </c>
      <c r="T484" s="4">
        <v>0</v>
      </c>
      <c r="U484" s="4">
        <v>0</v>
      </c>
      <c r="V484" s="34"/>
      <c r="W484" s="34"/>
      <c r="X484" s="4"/>
      <c r="Y484" s="8"/>
      <c r="Z484" s="8">
        <f t="shared" si="160"/>
        <v>2748800</v>
      </c>
      <c r="AA484" s="8">
        <f>AB484/365*239</f>
        <v>674962.191780822</v>
      </c>
      <c r="AB484" s="8">
        <f t="shared" si="161"/>
        <v>1030800</v>
      </c>
      <c r="AC484" s="4">
        <f t="shared" si="154"/>
        <v>1030800</v>
      </c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</row>
    <row r="485" spans="1:61" s="95" customFormat="1" ht="27.6" customHeight="1" x14ac:dyDescent="0.2">
      <c r="A485" s="138">
        <v>474</v>
      </c>
      <c r="B485" s="58" t="s">
        <v>574</v>
      </c>
      <c r="C485" s="9" t="s">
        <v>221</v>
      </c>
      <c r="D485" s="71">
        <v>6493000</v>
      </c>
      <c r="E485" s="9"/>
      <c r="F485" s="9"/>
      <c r="G485" s="62"/>
      <c r="H485" s="54">
        <v>7.5</v>
      </c>
      <c r="I485" s="34"/>
      <c r="J485" s="34"/>
      <c r="K485" s="34"/>
      <c r="L485" s="8"/>
      <c r="M485" s="8">
        <v>6493000</v>
      </c>
      <c r="N485" s="8">
        <v>6493000</v>
      </c>
      <c r="O485" s="8"/>
      <c r="P485" s="61"/>
      <c r="Q485" s="8"/>
      <c r="R485" s="4"/>
      <c r="S485" s="143">
        <f t="shared" si="159"/>
        <v>6493000</v>
      </c>
      <c r="T485" s="4">
        <v>0</v>
      </c>
      <c r="U485" s="4">
        <v>0</v>
      </c>
      <c r="V485" s="34"/>
      <c r="W485" s="34"/>
      <c r="X485" s="4"/>
      <c r="Y485" s="8"/>
      <c r="Z485" s="8">
        <f t="shared" si="160"/>
        <v>1298600</v>
      </c>
      <c r="AA485" s="8">
        <f>AB485/365*205</f>
        <v>273506.50684931508</v>
      </c>
      <c r="AB485" s="8">
        <f t="shared" si="161"/>
        <v>486975</v>
      </c>
      <c r="AC485" s="4">
        <f t="shared" si="154"/>
        <v>486975</v>
      </c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</row>
    <row r="486" spans="1:61" s="95" customFormat="1" ht="27.6" customHeight="1" x14ac:dyDescent="0.2">
      <c r="A486" s="9">
        <v>475</v>
      </c>
      <c r="B486" s="58" t="s">
        <v>578</v>
      </c>
      <c r="C486" s="9" t="s">
        <v>221</v>
      </c>
      <c r="D486" s="71">
        <v>52580000</v>
      </c>
      <c r="E486" s="9"/>
      <c r="F486" s="9"/>
      <c r="G486" s="62"/>
      <c r="H486" s="54">
        <v>7.5</v>
      </c>
      <c r="I486" s="34"/>
      <c r="J486" s="34"/>
      <c r="K486" s="34"/>
      <c r="L486" s="8"/>
      <c r="M486" s="8">
        <v>52580000</v>
      </c>
      <c r="N486" s="8">
        <v>52580000</v>
      </c>
      <c r="O486" s="8"/>
      <c r="P486" s="61"/>
      <c r="Q486" s="8"/>
      <c r="R486" s="4"/>
      <c r="S486" s="143">
        <f t="shared" si="159"/>
        <v>52580000</v>
      </c>
      <c r="T486" s="4">
        <v>0</v>
      </c>
      <c r="U486" s="4">
        <v>0</v>
      </c>
      <c r="V486" s="34"/>
      <c r="W486" s="34"/>
      <c r="X486" s="4"/>
      <c r="Y486" s="8"/>
      <c r="Z486" s="8">
        <f t="shared" si="160"/>
        <v>10516000</v>
      </c>
      <c r="AA486" s="8">
        <f>AB486/365*188</f>
        <v>2031172.602739726</v>
      </c>
      <c r="AB486" s="8">
        <f t="shared" si="161"/>
        <v>3943500</v>
      </c>
      <c r="AC486" s="4">
        <f t="shared" si="154"/>
        <v>3943500</v>
      </c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</row>
    <row r="487" spans="1:61" s="95" customFormat="1" ht="27.6" customHeight="1" x14ac:dyDescent="0.2">
      <c r="A487" s="138">
        <v>476</v>
      </c>
      <c r="B487" s="58" t="s">
        <v>578</v>
      </c>
      <c r="C487" s="9" t="s">
        <v>221</v>
      </c>
      <c r="D487" s="71">
        <v>37784000</v>
      </c>
      <c r="E487" s="9"/>
      <c r="F487" s="9"/>
      <c r="G487" s="62"/>
      <c r="H487" s="54">
        <v>7.5</v>
      </c>
      <c r="I487" s="34"/>
      <c r="J487" s="34"/>
      <c r="K487" s="34"/>
      <c r="L487" s="8"/>
      <c r="M487" s="8">
        <v>37784000</v>
      </c>
      <c r="N487" s="8">
        <v>37784000</v>
      </c>
      <c r="O487" s="8"/>
      <c r="P487" s="61"/>
      <c r="Q487" s="8"/>
      <c r="R487" s="4"/>
      <c r="S487" s="143">
        <f t="shared" si="159"/>
        <v>37784000</v>
      </c>
      <c r="T487" s="4">
        <v>0</v>
      </c>
      <c r="U487" s="4">
        <v>0</v>
      </c>
      <c r="V487" s="34"/>
      <c r="W487" s="34"/>
      <c r="X487" s="4"/>
      <c r="Y487" s="8"/>
      <c r="Z487" s="8">
        <f t="shared" si="160"/>
        <v>7556800</v>
      </c>
      <c r="AA487" s="8">
        <f>AB487/365*188</f>
        <v>1459601.0958904109</v>
      </c>
      <c r="AB487" s="8">
        <f t="shared" si="161"/>
        <v>2833800</v>
      </c>
      <c r="AC487" s="4">
        <f t="shared" si="154"/>
        <v>2833800</v>
      </c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</row>
    <row r="488" spans="1:61" s="95" customFormat="1" ht="27.6" customHeight="1" x14ac:dyDescent="0.2">
      <c r="A488" s="9">
        <v>477</v>
      </c>
      <c r="B488" s="58" t="s">
        <v>581</v>
      </c>
      <c r="C488" s="9" t="s">
        <v>221</v>
      </c>
      <c r="D488" s="71">
        <v>15799000</v>
      </c>
      <c r="E488" s="9"/>
      <c r="F488" s="9"/>
      <c r="G488" s="62"/>
      <c r="H488" s="54">
        <v>7.5</v>
      </c>
      <c r="I488" s="34"/>
      <c r="J488" s="34"/>
      <c r="K488" s="34"/>
      <c r="L488" s="8"/>
      <c r="M488" s="8">
        <v>15799000</v>
      </c>
      <c r="N488" s="8">
        <v>15799000</v>
      </c>
      <c r="O488" s="8"/>
      <c r="P488" s="61"/>
      <c r="Q488" s="8"/>
      <c r="R488" s="4"/>
      <c r="S488" s="143">
        <f t="shared" si="159"/>
        <v>15799000</v>
      </c>
      <c r="T488" s="4">
        <v>0</v>
      </c>
      <c r="U488" s="4">
        <v>0</v>
      </c>
      <c r="V488" s="34"/>
      <c r="W488" s="34"/>
      <c r="X488" s="4"/>
      <c r="Y488" s="8"/>
      <c r="Z488" s="8">
        <f t="shared" si="160"/>
        <v>3159800</v>
      </c>
      <c r="AA488" s="8">
        <f>AB488/365*160</f>
        <v>519419.17808219179</v>
      </c>
      <c r="AB488" s="8">
        <f t="shared" si="161"/>
        <v>1184925</v>
      </c>
      <c r="AC488" s="4">
        <f t="shared" si="154"/>
        <v>1184925</v>
      </c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</row>
    <row r="489" spans="1:61" s="95" customFormat="1" ht="27.6" customHeight="1" x14ac:dyDescent="0.2">
      <c r="A489" s="138">
        <v>478</v>
      </c>
      <c r="B489" s="58" t="s">
        <v>582</v>
      </c>
      <c r="C489" s="9" t="s">
        <v>221</v>
      </c>
      <c r="D489" s="71">
        <v>59208000</v>
      </c>
      <c r="E489" s="9"/>
      <c r="F489" s="9"/>
      <c r="G489" s="62"/>
      <c r="H489" s="54">
        <v>7.5</v>
      </c>
      <c r="I489" s="34"/>
      <c r="J489" s="34"/>
      <c r="K489" s="34"/>
      <c r="L489" s="8"/>
      <c r="M489" s="8">
        <v>59208000</v>
      </c>
      <c r="N489" s="8">
        <v>59208000</v>
      </c>
      <c r="O489" s="8"/>
      <c r="P489" s="61"/>
      <c r="Q489" s="8"/>
      <c r="R489" s="4"/>
      <c r="S489" s="143">
        <f t="shared" si="159"/>
        <v>59208000</v>
      </c>
      <c r="T489" s="4">
        <v>0</v>
      </c>
      <c r="U489" s="4">
        <v>0</v>
      </c>
      <c r="V489" s="34"/>
      <c r="W489" s="34"/>
      <c r="X489" s="4"/>
      <c r="Y489" s="8"/>
      <c r="Z489" s="8">
        <f t="shared" si="160"/>
        <v>11841600</v>
      </c>
      <c r="AA489" s="8">
        <f>AB489/365*149</f>
        <v>1812738.0821917807</v>
      </c>
      <c r="AB489" s="8">
        <f t="shared" si="161"/>
        <v>4440600</v>
      </c>
      <c r="AC489" s="4">
        <f t="shared" si="154"/>
        <v>4440600</v>
      </c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</row>
    <row r="490" spans="1:61" s="95" customFormat="1" ht="27.6" customHeight="1" x14ac:dyDescent="0.2">
      <c r="A490" s="9">
        <v>479</v>
      </c>
      <c r="B490" s="58" t="s">
        <v>584</v>
      </c>
      <c r="C490" s="9" t="s">
        <v>221</v>
      </c>
      <c r="D490" s="71">
        <v>40072000</v>
      </c>
      <c r="E490" s="9"/>
      <c r="F490" s="9"/>
      <c r="G490" s="62"/>
      <c r="H490" s="54">
        <v>7.5</v>
      </c>
      <c r="I490" s="34"/>
      <c r="J490" s="34"/>
      <c r="K490" s="34"/>
      <c r="L490" s="8"/>
      <c r="M490" s="8">
        <v>40072000</v>
      </c>
      <c r="N490" s="8">
        <v>40072000</v>
      </c>
      <c r="O490" s="8"/>
      <c r="P490" s="61"/>
      <c r="Q490" s="8"/>
      <c r="R490" s="4"/>
      <c r="S490" s="143">
        <f t="shared" si="159"/>
        <v>40072000</v>
      </c>
      <c r="T490" s="4">
        <v>0</v>
      </c>
      <c r="U490" s="4">
        <v>0</v>
      </c>
      <c r="V490" s="34"/>
      <c r="W490" s="34"/>
      <c r="X490" s="4"/>
      <c r="Y490" s="8"/>
      <c r="Z490" s="8">
        <f t="shared" si="160"/>
        <v>8014400</v>
      </c>
      <c r="AA490" s="8">
        <f>AB490/365*138</f>
        <v>1136288.2191780822</v>
      </c>
      <c r="AB490" s="8">
        <f t="shared" si="161"/>
        <v>3005400</v>
      </c>
      <c r="AC490" s="4">
        <f t="shared" si="154"/>
        <v>3005400</v>
      </c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</row>
    <row r="491" spans="1:61" s="95" customFormat="1" ht="27.6" customHeight="1" x14ac:dyDescent="0.2">
      <c r="A491" s="138">
        <v>480</v>
      </c>
      <c r="B491" s="58" t="s">
        <v>589</v>
      </c>
      <c r="C491" s="9" t="s">
        <v>221</v>
      </c>
      <c r="D491" s="71">
        <v>14727000</v>
      </c>
      <c r="E491" s="9"/>
      <c r="F491" s="9"/>
      <c r="G491" s="62"/>
      <c r="H491" s="54">
        <v>7.5</v>
      </c>
      <c r="I491" s="34"/>
      <c r="J491" s="34"/>
      <c r="K491" s="34"/>
      <c r="L491" s="8"/>
      <c r="M491" s="8">
        <v>14727000</v>
      </c>
      <c r="N491" s="8">
        <v>14727000</v>
      </c>
      <c r="O491" s="8"/>
      <c r="P491" s="61"/>
      <c r="Q491" s="8"/>
      <c r="R491" s="4"/>
      <c r="S491" s="143">
        <f t="shared" si="159"/>
        <v>14727000</v>
      </c>
      <c r="T491" s="4">
        <v>0</v>
      </c>
      <c r="U491" s="4">
        <v>0</v>
      </c>
      <c r="V491" s="34"/>
      <c r="W491" s="34"/>
      <c r="X491" s="4"/>
      <c r="Y491" s="8"/>
      <c r="Z491" s="8">
        <f t="shared" si="160"/>
        <v>2945400</v>
      </c>
      <c r="AA491" s="8">
        <f>AB491/365*103</f>
        <v>311687.87671232875</v>
      </c>
      <c r="AB491" s="8">
        <f t="shared" si="161"/>
        <v>1104525</v>
      </c>
      <c r="AC491" s="4">
        <f t="shared" si="154"/>
        <v>1104525</v>
      </c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</row>
    <row r="492" spans="1:61" s="95" customFormat="1" ht="27.6" customHeight="1" x14ac:dyDescent="0.2">
      <c r="A492" s="9">
        <v>481</v>
      </c>
      <c r="B492" s="58" t="s">
        <v>589</v>
      </c>
      <c r="C492" s="9" t="s">
        <v>221</v>
      </c>
      <c r="D492" s="71">
        <v>6425000</v>
      </c>
      <c r="E492" s="9"/>
      <c r="F492" s="9"/>
      <c r="G492" s="62"/>
      <c r="H492" s="54">
        <v>7.5</v>
      </c>
      <c r="I492" s="34"/>
      <c r="J492" s="34"/>
      <c r="K492" s="34"/>
      <c r="L492" s="8"/>
      <c r="M492" s="8">
        <v>6425000</v>
      </c>
      <c r="N492" s="8">
        <v>6425000</v>
      </c>
      <c r="O492" s="8"/>
      <c r="P492" s="61"/>
      <c r="Q492" s="8"/>
      <c r="R492" s="4"/>
      <c r="S492" s="143">
        <f t="shared" si="159"/>
        <v>6425000</v>
      </c>
      <c r="T492" s="4">
        <v>0</v>
      </c>
      <c r="U492" s="4">
        <v>0</v>
      </c>
      <c r="V492" s="34"/>
      <c r="W492" s="34"/>
      <c r="X492" s="4"/>
      <c r="Y492" s="8"/>
      <c r="Z492" s="8">
        <f t="shared" si="160"/>
        <v>1285000</v>
      </c>
      <c r="AA492" s="8">
        <f>AB492/365*103</f>
        <v>135981.16438356164</v>
      </c>
      <c r="AB492" s="8">
        <f t="shared" si="161"/>
        <v>481875</v>
      </c>
      <c r="AC492" s="4">
        <f t="shared" si="154"/>
        <v>481875</v>
      </c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</row>
    <row r="493" spans="1:61" s="95" customFormat="1" ht="27.6" customHeight="1" x14ac:dyDescent="0.2">
      <c r="A493" s="138">
        <v>482</v>
      </c>
      <c r="B493" s="58" t="s">
        <v>589</v>
      </c>
      <c r="C493" s="9" t="s">
        <v>221</v>
      </c>
      <c r="D493" s="71">
        <v>37917000</v>
      </c>
      <c r="E493" s="9"/>
      <c r="F493" s="9"/>
      <c r="G493" s="62"/>
      <c r="H493" s="54">
        <v>7.5</v>
      </c>
      <c r="I493" s="34"/>
      <c r="J493" s="34"/>
      <c r="K493" s="34"/>
      <c r="L493" s="8"/>
      <c r="M493" s="8">
        <v>37917000</v>
      </c>
      <c r="N493" s="8">
        <v>37917000</v>
      </c>
      <c r="O493" s="8"/>
      <c r="P493" s="61"/>
      <c r="Q493" s="8"/>
      <c r="R493" s="4"/>
      <c r="S493" s="143">
        <f t="shared" si="159"/>
        <v>37917000</v>
      </c>
      <c r="T493" s="4">
        <v>0</v>
      </c>
      <c r="U493" s="4">
        <v>0</v>
      </c>
      <c r="V493" s="34"/>
      <c r="W493" s="34"/>
      <c r="X493" s="4"/>
      <c r="Y493" s="8"/>
      <c r="Z493" s="8">
        <f t="shared" si="160"/>
        <v>7583400</v>
      </c>
      <c r="AA493" s="8">
        <f>AB493/365*103</f>
        <v>802489.93150684936</v>
      </c>
      <c r="AB493" s="8">
        <f t="shared" si="161"/>
        <v>2843775</v>
      </c>
      <c r="AC493" s="4">
        <f t="shared" ref="AC493:AC533" si="162">S493*H493%</f>
        <v>2843775</v>
      </c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</row>
    <row r="494" spans="1:61" s="95" customFormat="1" ht="27.6" customHeight="1" x14ac:dyDescent="0.2">
      <c r="A494" s="9">
        <v>483</v>
      </c>
      <c r="B494" s="58" t="s">
        <v>593</v>
      </c>
      <c r="C494" s="9" t="s">
        <v>221</v>
      </c>
      <c r="D494" s="71">
        <v>96615000</v>
      </c>
      <c r="E494" s="9"/>
      <c r="F494" s="9"/>
      <c r="G494" s="62"/>
      <c r="H494" s="54">
        <v>7.5</v>
      </c>
      <c r="I494" s="34"/>
      <c r="J494" s="34"/>
      <c r="K494" s="34"/>
      <c r="L494" s="8"/>
      <c r="M494" s="8">
        <v>96615000</v>
      </c>
      <c r="N494" s="8">
        <v>96615000</v>
      </c>
      <c r="O494" s="8"/>
      <c r="P494" s="61"/>
      <c r="Q494" s="8"/>
      <c r="R494" s="4"/>
      <c r="S494" s="143">
        <f t="shared" si="159"/>
        <v>96615000</v>
      </c>
      <c r="T494" s="4">
        <v>0</v>
      </c>
      <c r="U494" s="4">
        <v>0</v>
      </c>
      <c r="V494" s="34"/>
      <c r="W494" s="34"/>
      <c r="X494" s="4"/>
      <c r="Y494" s="8"/>
      <c r="Z494" s="8">
        <f t="shared" si="160"/>
        <v>19323000</v>
      </c>
      <c r="AA494" s="8">
        <f>AB494/365*72</f>
        <v>1429372.6027397262</v>
      </c>
      <c r="AB494" s="8">
        <f t="shared" si="161"/>
        <v>7246125</v>
      </c>
      <c r="AC494" s="4">
        <f t="shared" si="162"/>
        <v>7246125</v>
      </c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</row>
    <row r="495" spans="1:61" s="95" customFormat="1" ht="27.6" customHeight="1" x14ac:dyDescent="0.2">
      <c r="A495" s="138">
        <v>484</v>
      </c>
      <c r="B495" s="58" t="s">
        <v>593</v>
      </c>
      <c r="C495" s="9" t="s">
        <v>221</v>
      </c>
      <c r="D495" s="71">
        <v>6223000</v>
      </c>
      <c r="E495" s="9"/>
      <c r="F495" s="9"/>
      <c r="G495" s="62"/>
      <c r="H495" s="54">
        <v>7.5</v>
      </c>
      <c r="I495" s="34"/>
      <c r="J495" s="34"/>
      <c r="K495" s="34"/>
      <c r="L495" s="8"/>
      <c r="M495" s="8">
        <v>6223000</v>
      </c>
      <c r="N495" s="8">
        <v>6223000</v>
      </c>
      <c r="O495" s="8"/>
      <c r="P495" s="61"/>
      <c r="Q495" s="8"/>
      <c r="R495" s="4"/>
      <c r="S495" s="143">
        <f t="shared" si="159"/>
        <v>6223000</v>
      </c>
      <c r="T495" s="4">
        <v>0</v>
      </c>
      <c r="U495" s="4">
        <v>0</v>
      </c>
      <c r="V495" s="34"/>
      <c r="W495" s="34"/>
      <c r="X495" s="4"/>
      <c r="Y495" s="8"/>
      <c r="Z495" s="8">
        <f t="shared" si="160"/>
        <v>1244600</v>
      </c>
      <c r="AA495" s="8">
        <f>AB495/365*72</f>
        <v>92066.301369863024</v>
      </c>
      <c r="AB495" s="8">
        <f t="shared" si="161"/>
        <v>466725</v>
      </c>
      <c r="AC495" s="4">
        <f t="shared" si="162"/>
        <v>466725</v>
      </c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</row>
    <row r="496" spans="1:61" s="95" customFormat="1" ht="27.6" customHeight="1" x14ac:dyDescent="0.2">
      <c r="A496" s="9">
        <v>485</v>
      </c>
      <c r="B496" s="58" t="s">
        <v>593</v>
      </c>
      <c r="C496" s="9" t="s">
        <v>221</v>
      </c>
      <c r="D496" s="71">
        <v>5177000</v>
      </c>
      <c r="E496" s="9"/>
      <c r="F496" s="9"/>
      <c r="G496" s="62"/>
      <c r="H496" s="54">
        <v>7.5</v>
      </c>
      <c r="I496" s="34"/>
      <c r="J496" s="34"/>
      <c r="K496" s="34"/>
      <c r="L496" s="8"/>
      <c r="M496" s="8">
        <v>5177000</v>
      </c>
      <c r="N496" s="8">
        <v>5177000</v>
      </c>
      <c r="O496" s="8"/>
      <c r="P496" s="61"/>
      <c r="Q496" s="8"/>
      <c r="R496" s="4"/>
      <c r="S496" s="143">
        <f t="shared" si="159"/>
        <v>5177000</v>
      </c>
      <c r="T496" s="4">
        <v>0</v>
      </c>
      <c r="U496" s="4">
        <v>0</v>
      </c>
      <c r="V496" s="34"/>
      <c r="W496" s="34"/>
      <c r="X496" s="4"/>
      <c r="Y496" s="8"/>
      <c r="Z496" s="8">
        <f t="shared" si="160"/>
        <v>1035400</v>
      </c>
      <c r="AA496" s="8">
        <f>AB496/365*72</f>
        <v>76591.232876712325</v>
      </c>
      <c r="AB496" s="8">
        <f t="shared" si="161"/>
        <v>388275</v>
      </c>
      <c r="AC496" s="4">
        <f t="shared" si="162"/>
        <v>388275</v>
      </c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</row>
    <row r="497" spans="1:61" s="95" customFormat="1" ht="27.6" customHeight="1" x14ac:dyDescent="0.2">
      <c r="A497" s="138">
        <v>486</v>
      </c>
      <c r="B497" s="58" t="s">
        <v>632</v>
      </c>
      <c r="C497" s="9" t="s">
        <v>221</v>
      </c>
      <c r="D497" s="71">
        <v>49639000</v>
      </c>
      <c r="E497" s="9"/>
      <c r="F497" s="9"/>
      <c r="G497" s="62"/>
      <c r="H497" s="54">
        <v>7.25</v>
      </c>
      <c r="I497" s="34"/>
      <c r="J497" s="34"/>
      <c r="K497" s="34"/>
      <c r="L497" s="8"/>
      <c r="M497" s="8">
        <v>49639000</v>
      </c>
      <c r="N497" s="8">
        <v>49639000</v>
      </c>
      <c r="O497" s="8"/>
      <c r="P497" s="61"/>
      <c r="Q497" s="8"/>
      <c r="R497" s="4"/>
      <c r="S497" s="143">
        <f t="shared" si="159"/>
        <v>49639000</v>
      </c>
      <c r="T497" s="4">
        <v>0</v>
      </c>
      <c r="U497" s="4">
        <v>0</v>
      </c>
      <c r="V497" s="34"/>
      <c r="W497" s="34"/>
      <c r="X497" s="4"/>
      <c r="Y497" s="8"/>
      <c r="Z497" s="8">
        <f t="shared" si="160"/>
        <v>9927800</v>
      </c>
      <c r="AA497" s="8">
        <f>AB497/365*18</f>
        <v>177476.42465753423</v>
      </c>
      <c r="AB497" s="8">
        <f>N497*7.25/100</f>
        <v>3598827.5</v>
      </c>
      <c r="AC497" s="4">
        <f t="shared" si="162"/>
        <v>3598827.4999999995</v>
      </c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</row>
    <row r="498" spans="1:61" s="95" customFormat="1" ht="27.6" customHeight="1" x14ac:dyDescent="0.2">
      <c r="A498" s="9">
        <v>487</v>
      </c>
      <c r="B498" s="58" t="s">
        <v>632</v>
      </c>
      <c r="C498" s="9" t="s">
        <v>221</v>
      </c>
      <c r="D498" s="71">
        <v>601000</v>
      </c>
      <c r="E498" s="9"/>
      <c r="F498" s="9"/>
      <c r="G498" s="62"/>
      <c r="H498" s="54">
        <v>7.25</v>
      </c>
      <c r="I498" s="34"/>
      <c r="J498" s="34"/>
      <c r="K498" s="34"/>
      <c r="L498" s="8"/>
      <c r="M498" s="8">
        <v>601000</v>
      </c>
      <c r="N498" s="8">
        <v>601000</v>
      </c>
      <c r="O498" s="8"/>
      <c r="P498" s="61"/>
      <c r="Q498" s="8"/>
      <c r="R498" s="4"/>
      <c r="S498" s="143">
        <f t="shared" si="159"/>
        <v>601000</v>
      </c>
      <c r="T498" s="4">
        <v>0</v>
      </c>
      <c r="U498" s="4">
        <v>0</v>
      </c>
      <c r="V498" s="34"/>
      <c r="W498" s="34"/>
      <c r="X498" s="4"/>
      <c r="Y498" s="8"/>
      <c r="Z498" s="8">
        <f t="shared" si="160"/>
        <v>120200</v>
      </c>
      <c r="AA498" s="8">
        <f>AB498/365*18</f>
        <v>2148.7808219178082</v>
      </c>
      <c r="AB498" s="8">
        <f t="shared" ref="AB498:AB500" si="163">N498*7.25/100</f>
        <v>43572.5</v>
      </c>
      <c r="AC498" s="4">
        <f t="shared" si="162"/>
        <v>43572.5</v>
      </c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</row>
    <row r="499" spans="1:61" s="95" customFormat="1" ht="27.6" customHeight="1" x14ac:dyDescent="0.2">
      <c r="A499" s="138">
        <v>488</v>
      </c>
      <c r="B499" s="58" t="s">
        <v>632</v>
      </c>
      <c r="C499" s="9" t="s">
        <v>221</v>
      </c>
      <c r="D499" s="71">
        <v>203178000</v>
      </c>
      <c r="E499" s="9"/>
      <c r="F499" s="9"/>
      <c r="G499" s="62"/>
      <c r="H499" s="54">
        <v>7.25</v>
      </c>
      <c r="I499" s="34"/>
      <c r="J499" s="34"/>
      <c r="K499" s="34"/>
      <c r="L499" s="8"/>
      <c r="M499" s="8">
        <v>203178000</v>
      </c>
      <c r="N499" s="8">
        <v>203178000</v>
      </c>
      <c r="O499" s="8"/>
      <c r="P499" s="61"/>
      <c r="Q499" s="8"/>
      <c r="R499" s="4"/>
      <c r="S499" s="143">
        <f t="shared" si="159"/>
        <v>203178000</v>
      </c>
      <c r="T499" s="4">
        <v>0</v>
      </c>
      <c r="U499" s="4">
        <v>0</v>
      </c>
      <c r="V499" s="34"/>
      <c r="W499" s="34"/>
      <c r="X499" s="4"/>
      <c r="Y499" s="8"/>
      <c r="Z499" s="8">
        <f t="shared" si="160"/>
        <v>40635600</v>
      </c>
      <c r="AA499" s="8">
        <f>AB499/365*18</f>
        <v>726430.93150684936</v>
      </c>
      <c r="AB499" s="8">
        <f t="shared" si="163"/>
        <v>14730405</v>
      </c>
      <c r="AC499" s="4">
        <f t="shared" si="162"/>
        <v>14730404.999999998</v>
      </c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</row>
    <row r="500" spans="1:61" s="95" customFormat="1" ht="27.6" customHeight="1" x14ac:dyDescent="0.2">
      <c r="A500" s="9">
        <v>489</v>
      </c>
      <c r="B500" s="58" t="s">
        <v>633</v>
      </c>
      <c r="C500" s="9" t="s">
        <v>221</v>
      </c>
      <c r="D500" s="71">
        <v>9614000</v>
      </c>
      <c r="E500" s="9"/>
      <c r="F500" s="9"/>
      <c r="G500" s="62"/>
      <c r="H500" s="54">
        <v>7.25</v>
      </c>
      <c r="I500" s="34"/>
      <c r="J500" s="34"/>
      <c r="K500" s="34"/>
      <c r="L500" s="8"/>
      <c r="M500" s="8">
        <v>9614000</v>
      </c>
      <c r="N500" s="8">
        <v>9614000</v>
      </c>
      <c r="O500" s="8"/>
      <c r="P500" s="61"/>
      <c r="Q500" s="8"/>
      <c r="R500" s="4"/>
      <c r="S500" s="143">
        <f t="shared" si="159"/>
        <v>9614000</v>
      </c>
      <c r="T500" s="4">
        <v>0</v>
      </c>
      <c r="U500" s="4">
        <v>0</v>
      </c>
      <c r="V500" s="34"/>
      <c r="W500" s="34"/>
      <c r="X500" s="4"/>
      <c r="Y500" s="8"/>
      <c r="Z500" s="8">
        <f t="shared" si="160"/>
        <v>1922800</v>
      </c>
      <c r="AA500" s="8">
        <f>AB500/365*13</f>
        <v>24825.191780821915</v>
      </c>
      <c r="AB500" s="8">
        <f t="shared" si="163"/>
        <v>697015</v>
      </c>
      <c r="AC500" s="4">
        <f t="shared" si="162"/>
        <v>697015</v>
      </c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</row>
    <row r="501" spans="1:61" s="95" customFormat="1" ht="27.6" customHeight="1" x14ac:dyDescent="0.2">
      <c r="A501" s="138">
        <v>490</v>
      </c>
      <c r="B501" s="58" t="s">
        <v>634</v>
      </c>
      <c r="C501" s="9" t="s">
        <v>221</v>
      </c>
      <c r="D501" s="71">
        <v>115822000</v>
      </c>
      <c r="E501" s="9"/>
      <c r="F501" s="9"/>
      <c r="G501" s="62"/>
      <c r="H501" s="54">
        <v>7</v>
      </c>
      <c r="I501" s="34"/>
      <c r="J501" s="34"/>
      <c r="K501" s="34"/>
      <c r="L501" s="8"/>
      <c r="M501" s="8">
        <v>115822000</v>
      </c>
      <c r="N501" s="8">
        <v>115822000</v>
      </c>
      <c r="O501" s="8"/>
      <c r="P501" s="61"/>
      <c r="Q501" s="8"/>
      <c r="R501" s="4"/>
      <c r="S501" s="143">
        <f t="shared" si="159"/>
        <v>115822000</v>
      </c>
      <c r="T501" s="4">
        <v>0</v>
      </c>
      <c r="U501" s="4">
        <v>0</v>
      </c>
      <c r="V501" s="34"/>
      <c r="W501" s="34"/>
      <c r="X501" s="4"/>
      <c r="Y501" s="8"/>
      <c r="Z501" s="8">
        <f t="shared" si="160"/>
        <v>23164400</v>
      </c>
      <c r="AA501" s="8">
        <f>AB501/365*11</f>
        <v>244336.82191780824</v>
      </c>
      <c r="AB501" s="8">
        <f>N501*7/100</f>
        <v>8107540</v>
      </c>
      <c r="AC501" s="4">
        <f t="shared" si="162"/>
        <v>8107540.0000000009</v>
      </c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</row>
    <row r="502" spans="1:61" s="95" customFormat="1" ht="27.6" customHeight="1" x14ac:dyDescent="0.2">
      <c r="A502" s="9">
        <v>491</v>
      </c>
      <c r="B502" s="58" t="s">
        <v>634</v>
      </c>
      <c r="C502" s="9" t="s">
        <v>221</v>
      </c>
      <c r="D502" s="71">
        <v>60909000</v>
      </c>
      <c r="E502" s="9"/>
      <c r="F502" s="9"/>
      <c r="G502" s="62"/>
      <c r="H502" s="54">
        <v>7</v>
      </c>
      <c r="I502" s="34"/>
      <c r="J502" s="34"/>
      <c r="K502" s="34"/>
      <c r="L502" s="8"/>
      <c r="M502" s="8">
        <v>60909000</v>
      </c>
      <c r="N502" s="8">
        <v>60909000</v>
      </c>
      <c r="O502" s="8"/>
      <c r="P502" s="61"/>
      <c r="Q502" s="8"/>
      <c r="R502" s="4"/>
      <c r="S502" s="143">
        <f t="shared" si="159"/>
        <v>60909000</v>
      </c>
      <c r="T502" s="4">
        <v>0</v>
      </c>
      <c r="U502" s="4">
        <v>0</v>
      </c>
      <c r="V502" s="34"/>
      <c r="W502" s="34"/>
      <c r="X502" s="4"/>
      <c r="Y502" s="8"/>
      <c r="Z502" s="8">
        <f t="shared" si="160"/>
        <v>12181800</v>
      </c>
      <c r="AA502" s="8">
        <f>AB502/365*11</f>
        <v>128492.95890410958</v>
      </c>
      <c r="AB502" s="8">
        <f>N502*7/100</f>
        <v>4263630</v>
      </c>
      <c r="AC502" s="4">
        <f t="shared" si="162"/>
        <v>4263630</v>
      </c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</row>
    <row r="503" spans="1:61" s="95" customFormat="1" ht="27.6" customHeight="1" x14ac:dyDescent="0.2">
      <c r="A503" s="138">
        <v>492</v>
      </c>
      <c r="B503" s="58" t="s">
        <v>635</v>
      </c>
      <c r="C503" s="9" t="s">
        <v>221</v>
      </c>
      <c r="D503" s="71">
        <v>18960000</v>
      </c>
      <c r="E503" s="9"/>
      <c r="F503" s="9"/>
      <c r="G503" s="62"/>
      <c r="H503" s="54">
        <v>7</v>
      </c>
      <c r="I503" s="34"/>
      <c r="J503" s="34"/>
      <c r="K503" s="34"/>
      <c r="L503" s="8"/>
      <c r="M503" s="8">
        <v>18960000</v>
      </c>
      <c r="N503" s="8">
        <v>18960000</v>
      </c>
      <c r="O503" s="8"/>
      <c r="P503" s="61"/>
      <c r="Q503" s="8"/>
      <c r="R503" s="4"/>
      <c r="S503" s="143">
        <f t="shared" si="159"/>
        <v>18960000</v>
      </c>
      <c r="T503" s="4">
        <v>0</v>
      </c>
      <c r="U503" s="4">
        <v>0</v>
      </c>
      <c r="V503" s="34"/>
      <c r="W503" s="34"/>
      <c r="X503" s="4"/>
      <c r="Y503" s="8"/>
      <c r="Z503" s="8">
        <f t="shared" si="160"/>
        <v>3792000</v>
      </c>
      <c r="AA503" s="8">
        <f>AB503/365*7</f>
        <v>25453.150684931505</v>
      </c>
      <c r="AB503" s="8">
        <f>N503*7/100</f>
        <v>1327200</v>
      </c>
      <c r="AC503" s="4">
        <f t="shared" si="162"/>
        <v>1327200.0000000002</v>
      </c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</row>
    <row r="504" spans="1:61" s="95" customFormat="1" ht="27.6" customHeight="1" x14ac:dyDescent="0.2">
      <c r="A504" s="9">
        <v>493</v>
      </c>
      <c r="B504" s="58" t="s">
        <v>636</v>
      </c>
      <c r="C504" s="9" t="s">
        <v>221</v>
      </c>
      <c r="D504" s="71">
        <v>15094000</v>
      </c>
      <c r="E504" s="9"/>
      <c r="F504" s="9"/>
      <c r="G504" s="62"/>
      <c r="H504" s="54">
        <v>7</v>
      </c>
      <c r="I504" s="34"/>
      <c r="J504" s="34"/>
      <c r="K504" s="34"/>
      <c r="L504" s="8"/>
      <c r="M504" s="8">
        <v>15094000</v>
      </c>
      <c r="N504" s="8">
        <v>15094000</v>
      </c>
      <c r="O504" s="8"/>
      <c r="P504" s="61"/>
      <c r="Q504" s="8"/>
      <c r="R504" s="4"/>
      <c r="S504" s="143">
        <f t="shared" si="159"/>
        <v>15094000</v>
      </c>
      <c r="T504" s="4">
        <v>0</v>
      </c>
      <c r="U504" s="4">
        <v>0</v>
      </c>
      <c r="V504" s="34"/>
      <c r="W504" s="34"/>
      <c r="X504" s="4"/>
      <c r="Y504" s="8"/>
      <c r="Z504" s="8">
        <f t="shared" si="160"/>
        <v>3018800</v>
      </c>
      <c r="AA504" s="8">
        <f>AB504/365*6</f>
        <v>17368.438356164384</v>
      </c>
      <c r="AB504" s="8">
        <f>N504*7/100</f>
        <v>1056580</v>
      </c>
      <c r="AC504" s="4">
        <f t="shared" si="162"/>
        <v>1056580</v>
      </c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</row>
    <row r="505" spans="1:61" s="95" customFormat="1" ht="27.6" customHeight="1" x14ac:dyDescent="0.2">
      <c r="A505" s="138">
        <v>494</v>
      </c>
      <c r="B505" s="58" t="s">
        <v>639</v>
      </c>
      <c r="C505" s="9" t="s">
        <v>221</v>
      </c>
      <c r="D505" s="71">
        <v>2049000</v>
      </c>
      <c r="E505" s="9"/>
      <c r="F505" s="9"/>
      <c r="G505" s="62"/>
      <c r="H505" s="54">
        <v>6.75</v>
      </c>
      <c r="I505" s="34"/>
      <c r="J505" s="34"/>
      <c r="K505" s="34"/>
      <c r="L505" s="8"/>
      <c r="M505" s="8">
        <v>0</v>
      </c>
      <c r="N505" s="8">
        <f>D505</f>
        <v>2049000</v>
      </c>
      <c r="O505" s="8"/>
      <c r="P505" s="61"/>
      <c r="Q505" s="8"/>
      <c r="R505" s="4"/>
      <c r="S505" s="143">
        <f t="shared" si="159"/>
        <v>2049000</v>
      </c>
      <c r="T505" s="4">
        <v>0</v>
      </c>
      <c r="U505" s="4">
        <v>0</v>
      </c>
      <c r="V505" s="34"/>
      <c r="W505" s="34"/>
      <c r="X505" s="4"/>
      <c r="Y505" s="8"/>
      <c r="Z505" s="8">
        <v>0</v>
      </c>
      <c r="AA505" s="8">
        <f>AB505/365*319</f>
        <v>120876.96575342467</v>
      </c>
      <c r="AB505" s="8">
        <f>N505*6.75/100</f>
        <v>138307.5</v>
      </c>
      <c r="AC505" s="4">
        <f t="shared" si="162"/>
        <v>138307.5</v>
      </c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</row>
    <row r="506" spans="1:61" s="95" customFormat="1" ht="27.6" customHeight="1" x14ac:dyDescent="0.2">
      <c r="A506" s="9">
        <v>495</v>
      </c>
      <c r="B506" s="58" t="s">
        <v>639</v>
      </c>
      <c r="C506" s="9" t="s">
        <v>221</v>
      </c>
      <c r="D506" s="71">
        <v>4560000</v>
      </c>
      <c r="E506" s="9"/>
      <c r="F506" s="9"/>
      <c r="G506" s="62"/>
      <c r="H506" s="54">
        <v>6.75</v>
      </c>
      <c r="I506" s="34"/>
      <c r="J506" s="34"/>
      <c r="K506" s="34"/>
      <c r="L506" s="8"/>
      <c r="M506" s="8">
        <v>0</v>
      </c>
      <c r="N506" s="8">
        <f t="shared" ref="N506" si="164">D506</f>
        <v>4560000</v>
      </c>
      <c r="O506" s="8"/>
      <c r="P506" s="61"/>
      <c r="Q506" s="8"/>
      <c r="R506" s="4"/>
      <c r="S506" s="143">
        <f t="shared" si="159"/>
        <v>4560000</v>
      </c>
      <c r="T506" s="4">
        <v>0</v>
      </c>
      <c r="U506" s="4">
        <v>0</v>
      </c>
      <c r="V506" s="34"/>
      <c r="W506" s="34"/>
      <c r="X506" s="4"/>
      <c r="Y506" s="8"/>
      <c r="Z506" s="8">
        <v>0</v>
      </c>
      <c r="AA506" s="8">
        <f>AB506/365*319</f>
        <v>269008.76712328766</v>
      </c>
      <c r="AB506" s="8">
        <f>N506*6.75/100</f>
        <v>307800</v>
      </c>
      <c r="AC506" s="4">
        <f t="shared" si="162"/>
        <v>307800</v>
      </c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</row>
    <row r="507" spans="1:61" s="95" customFormat="1" ht="27.6" customHeight="1" x14ac:dyDescent="0.2">
      <c r="A507" s="138">
        <v>496</v>
      </c>
      <c r="B507" s="58" t="s">
        <v>640</v>
      </c>
      <c r="C507" s="9" t="s">
        <v>221</v>
      </c>
      <c r="D507" s="71">
        <v>10696000</v>
      </c>
      <c r="E507" s="9"/>
      <c r="F507" s="9"/>
      <c r="G507" s="62"/>
      <c r="H507" s="54">
        <v>6.75</v>
      </c>
      <c r="I507" s="34"/>
      <c r="J507" s="34"/>
      <c r="K507" s="34"/>
      <c r="L507" s="8"/>
      <c r="M507" s="8">
        <v>0</v>
      </c>
      <c r="N507" s="8">
        <f>D507</f>
        <v>10696000</v>
      </c>
      <c r="O507" s="8"/>
      <c r="P507" s="61"/>
      <c r="Q507" s="8"/>
      <c r="R507" s="4"/>
      <c r="S507" s="143">
        <f t="shared" si="159"/>
        <v>10696000</v>
      </c>
      <c r="T507" s="4">
        <v>0</v>
      </c>
      <c r="U507" s="4">
        <v>0</v>
      </c>
      <c r="V507" s="34"/>
      <c r="W507" s="34"/>
      <c r="X507" s="4"/>
      <c r="Y507" s="8"/>
      <c r="Z507" s="8">
        <v>0</v>
      </c>
      <c r="AA507" s="8">
        <f>AB507/365*316</f>
        <v>625056.65753424657</v>
      </c>
      <c r="AB507" s="8">
        <f>N507*6.75/100</f>
        <v>721980</v>
      </c>
      <c r="AC507" s="4">
        <f t="shared" si="162"/>
        <v>721980</v>
      </c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</row>
    <row r="508" spans="1:61" s="95" customFormat="1" ht="27.6" customHeight="1" x14ac:dyDescent="0.2">
      <c r="A508" s="9">
        <v>497</v>
      </c>
      <c r="B508" s="58" t="s">
        <v>644</v>
      </c>
      <c r="C508" s="9" t="s">
        <v>221</v>
      </c>
      <c r="D508" s="71">
        <v>4775000</v>
      </c>
      <c r="E508" s="9"/>
      <c r="F508" s="9"/>
      <c r="G508" s="62"/>
      <c r="H508" s="54">
        <v>6.75</v>
      </c>
      <c r="I508" s="34"/>
      <c r="J508" s="34"/>
      <c r="K508" s="34"/>
      <c r="L508" s="8"/>
      <c r="M508" s="8">
        <v>0</v>
      </c>
      <c r="N508" s="8">
        <f t="shared" ref="N508:N530" si="165">D508</f>
        <v>4775000</v>
      </c>
      <c r="O508" s="8"/>
      <c r="P508" s="61"/>
      <c r="Q508" s="8"/>
      <c r="R508" s="4"/>
      <c r="S508" s="143">
        <f t="shared" si="159"/>
        <v>4775000</v>
      </c>
      <c r="T508" s="4">
        <v>0</v>
      </c>
      <c r="U508" s="4">
        <v>0</v>
      </c>
      <c r="V508" s="34"/>
      <c r="W508" s="34"/>
      <c r="X508" s="4"/>
      <c r="Y508" s="8"/>
      <c r="Z508" s="8">
        <v>0</v>
      </c>
      <c r="AA508" s="8">
        <f>AB508/365*295</f>
        <v>260499.14383561644</v>
      </c>
      <c r="AB508" s="8">
        <f>N508*6.75/100</f>
        <v>322312.5</v>
      </c>
      <c r="AC508" s="4">
        <f t="shared" si="162"/>
        <v>322312.5</v>
      </c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</row>
    <row r="509" spans="1:61" s="95" customFormat="1" ht="27.6" customHeight="1" x14ac:dyDescent="0.2">
      <c r="A509" s="138">
        <v>498</v>
      </c>
      <c r="B509" s="58" t="s">
        <v>644</v>
      </c>
      <c r="C509" s="9" t="s">
        <v>221</v>
      </c>
      <c r="D509" s="71">
        <v>1736000</v>
      </c>
      <c r="E509" s="9"/>
      <c r="F509" s="9"/>
      <c r="G509" s="62"/>
      <c r="H509" s="54">
        <v>6.75</v>
      </c>
      <c r="I509" s="34"/>
      <c r="J509" s="34"/>
      <c r="K509" s="34"/>
      <c r="L509" s="8"/>
      <c r="M509" s="8">
        <v>0</v>
      </c>
      <c r="N509" s="8">
        <f t="shared" si="165"/>
        <v>1736000</v>
      </c>
      <c r="O509" s="8"/>
      <c r="P509" s="61"/>
      <c r="Q509" s="8"/>
      <c r="R509" s="4"/>
      <c r="S509" s="143">
        <f t="shared" si="159"/>
        <v>1736000</v>
      </c>
      <c r="T509" s="4">
        <v>0</v>
      </c>
      <c r="U509" s="4">
        <v>0</v>
      </c>
      <c r="V509" s="34"/>
      <c r="W509" s="34"/>
      <c r="X509" s="4"/>
      <c r="Y509" s="8"/>
      <c r="Z509" s="8">
        <v>0</v>
      </c>
      <c r="AA509" s="8">
        <f t="shared" ref="AA509:AA510" si="166">AB509/365*295</f>
        <v>94707.123287671246</v>
      </c>
      <c r="AB509" s="8">
        <f t="shared" ref="AB509:AB513" si="167">N509*6.75/100</f>
        <v>117180</v>
      </c>
      <c r="AC509" s="4">
        <f t="shared" si="162"/>
        <v>117180.00000000001</v>
      </c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</row>
    <row r="510" spans="1:61" s="95" customFormat="1" ht="27.6" customHeight="1" x14ac:dyDescent="0.2">
      <c r="A510" s="9">
        <v>499</v>
      </c>
      <c r="B510" s="58" t="s">
        <v>644</v>
      </c>
      <c r="C510" s="9" t="s">
        <v>221</v>
      </c>
      <c r="D510" s="71">
        <v>1050000</v>
      </c>
      <c r="E510" s="9"/>
      <c r="F510" s="9"/>
      <c r="G510" s="62"/>
      <c r="H510" s="54">
        <v>6.75</v>
      </c>
      <c r="I510" s="34"/>
      <c r="J510" s="34"/>
      <c r="K510" s="34"/>
      <c r="L510" s="8"/>
      <c r="M510" s="8">
        <v>0</v>
      </c>
      <c r="N510" s="8">
        <f t="shared" si="165"/>
        <v>1050000</v>
      </c>
      <c r="O510" s="8"/>
      <c r="P510" s="61"/>
      <c r="Q510" s="8"/>
      <c r="R510" s="4"/>
      <c r="S510" s="143">
        <f t="shared" si="159"/>
        <v>1050000</v>
      </c>
      <c r="T510" s="4">
        <v>0</v>
      </c>
      <c r="U510" s="4">
        <v>0</v>
      </c>
      <c r="V510" s="34"/>
      <c r="W510" s="34"/>
      <c r="X510" s="4"/>
      <c r="Y510" s="8"/>
      <c r="Z510" s="8">
        <v>0</v>
      </c>
      <c r="AA510" s="8">
        <f t="shared" si="166"/>
        <v>57282.534246575342</v>
      </c>
      <c r="AB510" s="8">
        <f t="shared" si="167"/>
        <v>70875</v>
      </c>
      <c r="AC510" s="4">
        <f t="shared" si="162"/>
        <v>70875</v>
      </c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</row>
    <row r="511" spans="1:61" s="95" customFormat="1" ht="27.6" customHeight="1" x14ac:dyDescent="0.2">
      <c r="A511" s="138">
        <v>500</v>
      </c>
      <c r="B511" s="58" t="s">
        <v>646</v>
      </c>
      <c r="C511" s="9" t="s">
        <v>221</v>
      </c>
      <c r="D511" s="71">
        <v>2838000</v>
      </c>
      <c r="E511" s="9"/>
      <c r="F511" s="9"/>
      <c r="G511" s="62"/>
      <c r="H511" s="54">
        <v>6.75</v>
      </c>
      <c r="I511" s="34"/>
      <c r="J511" s="34"/>
      <c r="K511" s="34"/>
      <c r="L511" s="8"/>
      <c r="M511" s="8">
        <v>0</v>
      </c>
      <c r="N511" s="8">
        <f t="shared" si="165"/>
        <v>2838000</v>
      </c>
      <c r="O511" s="8"/>
      <c r="P511" s="61"/>
      <c r="Q511" s="8"/>
      <c r="R511" s="4"/>
      <c r="S511" s="143">
        <f t="shared" si="159"/>
        <v>2838000</v>
      </c>
      <c r="T511" s="4">
        <v>0</v>
      </c>
      <c r="U511" s="4">
        <v>0</v>
      </c>
      <c r="V511" s="34"/>
      <c r="W511" s="34"/>
      <c r="X511" s="4"/>
      <c r="Y511" s="8"/>
      <c r="Z511" s="8">
        <v>0</v>
      </c>
      <c r="AA511" s="8">
        <f>AB511/365*279</f>
        <v>146429.13698630137</v>
      </c>
      <c r="AB511" s="8">
        <f t="shared" si="167"/>
        <v>191565</v>
      </c>
      <c r="AC511" s="4">
        <f t="shared" si="162"/>
        <v>191565</v>
      </c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</row>
    <row r="512" spans="1:61" s="95" customFormat="1" ht="27.6" customHeight="1" x14ac:dyDescent="0.2">
      <c r="A512" s="9">
        <v>501</v>
      </c>
      <c r="B512" s="58" t="s">
        <v>646</v>
      </c>
      <c r="C512" s="9" t="s">
        <v>221</v>
      </c>
      <c r="D512" s="71">
        <v>1660000</v>
      </c>
      <c r="E512" s="9"/>
      <c r="F512" s="9"/>
      <c r="G512" s="62"/>
      <c r="H512" s="54">
        <v>6.75</v>
      </c>
      <c r="I512" s="34"/>
      <c r="J512" s="34"/>
      <c r="K512" s="34"/>
      <c r="L512" s="8"/>
      <c r="M512" s="8">
        <v>0</v>
      </c>
      <c r="N512" s="8">
        <f t="shared" si="165"/>
        <v>1660000</v>
      </c>
      <c r="O512" s="8"/>
      <c r="P512" s="61"/>
      <c r="Q512" s="8"/>
      <c r="R512" s="4"/>
      <c r="S512" s="143">
        <f t="shared" si="159"/>
        <v>1660000</v>
      </c>
      <c r="T512" s="4">
        <v>0</v>
      </c>
      <c r="U512" s="4">
        <v>0</v>
      </c>
      <c r="V512" s="34"/>
      <c r="W512" s="34"/>
      <c r="X512" s="4"/>
      <c r="Y512" s="8"/>
      <c r="Z512" s="8">
        <v>0</v>
      </c>
      <c r="AA512" s="8">
        <f t="shared" ref="AA512:AA513" si="168">AB512/365*279</f>
        <v>85649.178082191778</v>
      </c>
      <c r="AB512" s="8">
        <f t="shared" si="167"/>
        <v>112050</v>
      </c>
      <c r="AC512" s="4">
        <f t="shared" si="162"/>
        <v>112050.00000000001</v>
      </c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</row>
    <row r="513" spans="1:61" s="95" customFormat="1" ht="27.6" customHeight="1" x14ac:dyDescent="0.2">
      <c r="A513" s="138">
        <v>502</v>
      </c>
      <c r="B513" s="58" t="s">
        <v>646</v>
      </c>
      <c r="C513" s="9" t="s">
        <v>221</v>
      </c>
      <c r="D513" s="71">
        <v>2128000</v>
      </c>
      <c r="E513" s="9"/>
      <c r="F513" s="9"/>
      <c r="G513" s="62"/>
      <c r="H513" s="54">
        <v>6.75</v>
      </c>
      <c r="I513" s="34"/>
      <c r="J513" s="34"/>
      <c r="K513" s="34"/>
      <c r="L513" s="8"/>
      <c r="M513" s="8">
        <v>0</v>
      </c>
      <c r="N513" s="8">
        <f t="shared" si="165"/>
        <v>2128000</v>
      </c>
      <c r="O513" s="8"/>
      <c r="P513" s="61"/>
      <c r="Q513" s="8"/>
      <c r="R513" s="4"/>
      <c r="S513" s="143">
        <f t="shared" si="159"/>
        <v>2128000</v>
      </c>
      <c r="T513" s="4">
        <v>0</v>
      </c>
      <c r="U513" s="4">
        <v>0</v>
      </c>
      <c r="V513" s="34"/>
      <c r="W513" s="34"/>
      <c r="X513" s="4"/>
      <c r="Y513" s="8"/>
      <c r="Z513" s="8">
        <v>0</v>
      </c>
      <c r="AA513" s="8">
        <f t="shared" si="168"/>
        <v>109796.05479452055</v>
      </c>
      <c r="AB513" s="8">
        <f t="shared" si="167"/>
        <v>143640</v>
      </c>
      <c r="AC513" s="4">
        <f t="shared" si="162"/>
        <v>143640</v>
      </c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</row>
    <row r="514" spans="1:61" s="95" customFormat="1" ht="27.6" customHeight="1" x14ac:dyDescent="0.2">
      <c r="A514" s="9">
        <v>503</v>
      </c>
      <c r="B514" s="58" t="s">
        <v>650</v>
      </c>
      <c r="C514" s="9" t="s">
        <v>221</v>
      </c>
      <c r="D514" s="71">
        <v>22670000</v>
      </c>
      <c r="E514" s="9"/>
      <c r="F514" s="9"/>
      <c r="G514" s="62"/>
      <c r="H514" s="54">
        <v>8.75</v>
      </c>
      <c r="I514" s="34"/>
      <c r="J514" s="34"/>
      <c r="K514" s="34"/>
      <c r="L514" s="8"/>
      <c r="M514" s="8">
        <v>0</v>
      </c>
      <c r="N514" s="8">
        <f t="shared" si="165"/>
        <v>22670000</v>
      </c>
      <c r="O514" s="8"/>
      <c r="P514" s="61"/>
      <c r="Q514" s="8"/>
      <c r="R514" s="4"/>
      <c r="S514" s="143">
        <f t="shared" si="159"/>
        <v>22670000</v>
      </c>
      <c r="T514" s="4">
        <v>0</v>
      </c>
      <c r="U514" s="4">
        <v>0</v>
      </c>
      <c r="V514" s="34"/>
      <c r="W514" s="34"/>
      <c r="X514" s="4"/>
      <c r="Y514" s="8"/>
      <c r="Z514" s="8">
        <v>0</v>
      </c>
      <c r="AA514" s="8">
        <f>AB514/365*226</f>
        <v>1228217.1232876712</v>
      </c>
      <c r="AB514" s="8">
        <f>N514*8.75/100</f>
        <v>1983625</v>
      </c>
      <c r="AC514" s="4">
        <f t="shared" si="162"/>
        <v>1983624.9999999998</v>
      </c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</row>
    <row r="515" spans="1:61" s="95" customFormat="1" ht="27.6" customHeight="1" x14ac:dyDescent="0.2">
      <c r="A515" s="138">
        <v>504</v>
      </c>
      <c r="B515" s="58" t="s">
        <v>651</v>
      </c>
      <c r="C515" s="9" t="s">
        <v>221</v>
      </c>
      <c r="D515" s="71">
        <v>5073000</v>
      </c>
      <c r="E515" s="9"/>
      <c r="F515" s="9"/>
      <c r="G515" s="62"/>
      <c r="H515" s="54">
        <v>8.75</v>
      </c>
      <c r="I515" s="34"/>
      <c r="J515" s="34"/>
      <c r="K515" s="34"/>
      <c r="L515" s="8"/>
      <c r="M515" s="8">
        <v>0</v>
      </c>
      <c r="N515" s="8">
        <f t="shared" si="165"/>
        <v>5073000</v>
      </c>
      <c r="O515" s="8"/>
      <c r="P515" s="61"/>
      <c r="Q515" s="8"/>
      <c r="R515" s="4"/>
      <c r="S515" s="143">
        <f t="shared" si="159"/>
        <v>5073000</v>
      </c>
      <c r="T515" s="4">
        <v>0</v>
      </c>
      <c r="U515" s="4">
        <v>0</v>
      </c>
      <c r="V515" s="34"/>
      <c r="W515" s="34"/>
      <c r="X515" s="4"/>
      <c r="Y515" s="8"/>
      <c r="Z515" s="8">
        <v>0</v>
      </c>
      <c r="AA515" s="8">
        <f>AB515/365*225</f>
        <v>273629.28082191781</v>
      </c>
      <c r="AB515" s="8">
        <f t="shared" ref="AB515:AB516" si="169">N515*8.75/100</f>
        <v>443887.5</v>
      </c>
      <c r="AC515" s="4">
        <f t="shared" si="162"/>
        <v>443887.5</v>
      </c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</row>
    <row r="516" spans="1:61" s="95" customFormat="1" ht="27.6" customHeight="1" x14ac:dyDescent="0.2">
      <c r="A516" s="9">
        <v>505</v>
      </c>
      <c r="B516" s="58" t="s">
        <v>652</v>
      </c>
      <c r="C516" s="9" t="s">
        <v>221</v>
      </c>
      <c r="D516" s="71">
        <v>61672000</v>
      </c>
      <c r="E516" s="9"/>
      <c r="F516" s="9"/>
      <c r="G516" s="62"/>
      <c r="H516" s="54">
        <v>8.75</v>
      </c>
      <c r="I516" s="34"/>
      <c r="J516" s="34"/>
      <c r="K516" s="34"/>
      <c r="L516" s="8"/>
      <c r="M516" s="8">
        <v>0</v>
      </c>
      <c r="N516" s="8">
        <f t="shared" si="165"/>
        <v>61672000</v>
      </c>
      <c r="O516" s="8"/>
      <c r="P516" s="61"/>
      <c r="Q516" s="8"/>
      <c r="R516" s="4"/>
      <c r="S516" s="143">
        <f t="shared" si="159"/>
        <v>61672000</v>
      </c>
      <c r="T516" s="4">
        <v>0</v>
      </c>
      <c r="U516" s="4">
        <v>0</v>
      </c>
      <c r="V516" s="34"/>
      <c r="W516" s="34"/>
      <c r="X516" s="4"/>
      <c r="Y516" s="8"/>
      <c r="Z516" s="8">
        <v>0</v>
      </c>
      <c r="AA516" s="8">
        <f>AB516/365*211</f>
        <v>3119504.9315068494</v>
      </c>
      <c r="AB516" s="8">
        <f t="shared" si="169"/>
        <v>5396300</v>
      </c>
      <c r="AC516" s="4">
        <f t="shared" si="162"/>
        <v>5396300</v>
      </c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</row>
    <row r="517" spans="1:61" s="95" customFormat="1" ht="27.6" customHeight="1" x14ac:dyDescent="0.2">
      <c r="A517" s="138">
        <v>506</v>
      </c>
      <c r="B517" s="58" t="s">
        <v>659</v>
      </c>
      <c r="C517" s="9" t="s">
        <v>221</v>
      </c>
      <c r="D517" s="71">
        <v>8376000</v>
      </c>
      <c r="E517" s="9"/>
      <c r="F517" s="9"/>
      <c r="G517" s="62"/>
      <c r="H517" s="54">
        <v>8</v>
      </c>
      <c r="I517" s="34"/>
      <c r="J517" s="34"/>
      <c r="K517" s="34"/>
      <c r="L517" s="8"/>
      <c r="M517" s="8">
        <v>0</v>
      </c>
      <c r="N517" s="8">
        <f t="shared" si="165"/>
        <v>8376000</v>
      </c>
      <c r="O517" s="8"/>
      <c r="P517" s="61"/>
      <c r="Q517" s="8"/>
      <c r="R517" s="4"/>
      <c r="S517" s="143">
        <f t="shared" si="159"/>
        <v>8376000</v>
      </c>
      <c r="T517" s="4">
        <v>0</v>
      </c>
      <c r="U517" s="4">
        <v>0</v>
      </c>
      <c r="V517" s="34"/>
      <c r="W517" s="34"/>
      <c r="X517" s="4"/>
      <c r="Y517" s="8"/>
      <c r="Z517" s="8">
        <v>0</v>
      </c>
      <c r="AA517" s="8">
        <f>AB517/365*181</f>
        <v>332286.24657534243</v>
      </c>
      <c r="AB517" s="8">
        <f>N517*8/100</f>
        <v>670080</v>
      </c>
      <c r="AC517" s="4">
        <f t="shared" si="162"/>
        <v>670080</v>
      </c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</row>
    <row r="518" spans="1:61" s="95" customFormat="1" ht="27.6" customHeight="1" x14ac:dyDescent="0.2">
      <c r="A518" s="9">
        <v>507</v>
      </c>
      <c r="B518" s="58" t="s">
        <v>659</v>
      </c>
      <c r="C518" s="9" t="s">
        <v>221</v>
      </c>
      <c r="D518" s="71">
        <v>13432000</v>
      </c>
      <c r="E518" s="9"/>
      <c r="F518" s="9"/>
      <c r="G518" s="62"/>
      <c r="H518" s="54">
        <v>8</v>
      </c>
      <c r="I518" s="34"/>
      <c r="J518" s="34"/>
      <c r="K518" s="34"/>
      <c r="L518" s="8"/>
      <c r="M518" s="8">
        <v>0</v>
      </c>
      <c r="N518" s="8">
        <f t="shared" si="165"/>
        <v>13432000</v>
      </c>
      <c r="O518" s="8"/>
      <c r="P518" s="61"/>
      <c r="Q518" s="8"/>
      <c r="R518" s="4"/>
      <c r="S518" s="143">
        <f t="shared" si="159"/>
        <v>13432000</v>
      </c>
      <c r="T518" s="4">
        <v>0</v>
      </c>
      <c r="U518" s="4">
        <v>0</v>
      </c>
      <c r="V518" s="34"/>
      <c r="W518" s="34"/>
      <c r="X518" s="4"/>
      <c r="Y518" s="8"/>
      <c r="Z518" s="8">
        <v>0</v>
      </c>
      <c r="AA518" s="8">
        <f t="shared" ref="AA518" si="170">AB518/365*181</f>
        <v>532864</v>
      </c>
      <c r="AB518" s="8">
        <f>N518*8/100</f>
        <v>1074560</v>
      </c>
      <c r="AC518" s="4">
        <f t="shared" si="162"/>
        <v>1074560</v>
      </c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</row>
    <row r="519" spans="1:61" s="95" customFormat="1" ht="27.6" customHeight="1" x14ac:dyDescent="0.2">
      <c r="A519" s="138">
        <v>508</v>
      </c>
      <c r="B519" s="58" t="s">
        <v>660</v>
      </c>
      <c r="C519" s="9" t="s">
        <v>221</v>
      </c>
      <c r="D519" s="71">
        <v>6855000</v>
      </c>
      <c r="E519" s="9"/>
      <c r="F519" s="9"/>
      <c r="G519" s="62"/>
      <c r="H519" s="54">
        <v>7.5</v>
      </c>
      <c r="I519" s="34"/>
      <c r="J519" s="34"/>
      <c r="K519" s="34"/>
      <c r="L519" s="8"/>
      <c r="M519" s="8">
        <v>0</v>
      </c>
      <c r="N519" s="8">
        <f t="shared" si="165"/>
        <v>6855000</v>
      </c>
      <c r="O519" s="8"/>
      <c r="P519" s="61"/>
      <c r="Q519" s="8"/>
      <c r="R519" s="4"/>
      <c r="S519" s="143">
        <f t="shared" si="159"/>
        <v>6855000</v>
      </c>
      <c r="T519" s="4">
        <v>0</v>
      </c>
      <c r="U519" s="4">
        <v>0</v>
      </c>
      <c r="V519" s="34"/>
      <c r="W519" s="34"/>
      <c r="X519" s="4"/>
      <c r="Y519" s="8"/>
      <c r="Z519" s="8">
        <v>0</v>
      </c>
      <c r="AA519" s="8">
        <f>AB519/365*167</f>
        <v>235229.79452054793</v>
      </c>
      <c r="AB519" s="8">
        <f>N519*7.5/100</f>
        <v>514125</v>
      </c>
      <c r="AC519" s="4">
        <f t="shared" si="162"/>
        <v>514125</v>
      </c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</row>
    <row r="520" spans="1:61" s="95" customFormat="1" ht="27.6" customHeight="1" x14ac:dyDescent="0.2">
      <c r="A520" s="9">
        <v>509</v>
      </c>
      <c r="B520" s="58" t="s">
        <v>663</v>
      </c>
      <c r="C520" s="9" t="s">
        <v>221</v>
      </c>
      <c r="D520" s="71">
        <v>2529000</v>
      </c>
      <c r="E520" s="9"/>
      <c r="F520" s="9"/>
      <c r="G520" s="62"/>
      <c r="H520" s="54">
        <v>7.25</v>
      </c>
      <c r="I520" s="34"/>
      <c r="J520" s="34"/>
      <c r="K520" s="34"/>
      <c r="L520" s="8"/>
      <c r="M520" s="8">
        <v>0</v>
      </c>
      <c r="N520" s="8">
        <f t="shared" si="165"/>
        <v>2529000</v>
      </c>
      <c r="O520" s="8"/>
      <c r="P520" s="61"/>
      <c r="Q520" s="8"/>
      <c r="R520" s="4"/>
      <c r="S520" s="143">
        <f t="shared" si="159"/>
        <v>2529000</v>
      </c>
      <c r="T520" s="4">
        <v>0</v>
      </c>
      <c r="U520" s="4">
        <v>0</v>
      </c>
      <c r="V520" s="34"/>
      <c r="W520" s="34"/>
      <c r="X520" s="4"/>
      <c r="Y520" s="8"/>
      <c r="Z520" s="8">
        <v>0</v>
      </c>
      <c r="AA520" s="8">
        <f>AB520/365*153</f>
        <v>76857.349315068495</v>
      </c>
      <c r="AB520" s="8">
        <f>N520*7.25/100</f>
        <v>183352.5</v>
      </c>
      <c r="AC520" s="4">
        <f t="shared" si="162"/>
        <v>183352.5</v>
      </c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</row>
    <row r="521" spans="1:61" s="95" customFormat="1" ht="27.6" customHeight="1" x14ac:dyDescent="0.2">
      <c r="A521" s="138">
        <v>510</v>
      </c>
      <c r="B521" s="58" t="s">
        <v>663</v>
      </c>
      <c r="C521" s="9" t="s">
        <v>221</v>
      </c>
      <c r="D521" s="71">
        <v>34513000</v>
      </c>
      <c r="E521" s="9"/>
      <c r="F521" s="9"/>
      <c r="G521" s="62"/>
      <c r="H521" s="54">
        <v>7.25</v>
      </c>
      <c r="I521" s="34"/>
      <c r="J521" s="34"/>
      <c r="K521" s="34"/>
      <c r="L521" s="8"/>
      <c r="M521" s="8">
        <v>0</v>
      </c>
      <c r="N521" s="8">
        <f t="shared" si="165"/>
        <v>34513000</v>
      </c>
      <c r="O521" s="8"/>
      <c r="P521" s="61"/>
      <c r="Q521" s="8"/>
      <c r="R521" s="4"/>
      <c r="S521" s="143">
        <f t="shared" si="159"/>
        <v>34513000</v>
      </c>
      <c r="T521" s="4">
        <v>0</v>
      </c>
      <c r="U521" s="4">
        <v>0</v>
      </c>
      <c r="V521" s="34"/>
      <c r="W521" s="34"/>
      <c r="X521" s="4"/>
      <c r="Y521" s="8"/>
      <c r="Z521" s="8">
        <v>0</v>
      </c>
      <c r="AA521" s="8">
        <f t="shared" ref="AA521" si="171">AB521/365*153</f>
        <v>1048864.2534246575</v>
      </c>
      <c r="AB521" s="8">
        <f t="shared" ref="AB521:AB526" si="172">N521*7.25/100</f>
        <v>2502192.5</v>
      </c>
      <c r="AC521" s="4">
        <f t="shared" si="162"/>
        <v>2502192.5</v>
      </c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</row>
    <row r="522" spans="1:61" s="95" customFormat="1" ht="27.6" customHeight="1" x14ac:dyDescent="0.2">
      <c r="A522" s="9">
        <v>511</v>
      </c>
      <c r="B522" s="58" t="s">
        <v>665</v>
      </c>
      <c r="C522" s="9" t="s">
        <v>221</v>
      </c>
      <c r="D522" s="71">
        <v>4696000</v>
      </c>
      <c r="E522" s="9"/>
      <c r="F522" s="9"/>
      <c r="G522" s="62"/>
      <c r="H522" s="54">
        <v>7.25</v>
      </c>
      <c r="I522" s="34"/>
      <c r="J522" s="34"/>
      <c r="K522" s="34"/>
      <c r="L522" s="8"/>
      <c r="M522" s="8">
        <v>0</v>
      </c>
      <c r="N522" s="8">
        <f t="shared" si="165"/>
        <v>4696000</v>
      </c>
      <c r="O522" s="8"/>
      <c r="P522" s="61"/>
      <c r="Q522" s="8"/>
      <c r="R522" s="4"/>
      <c r="S522" s="143">
        <f t="shared" si="159"/>
        <v>4696000</v>
      </c>
      <c r="T522" s="4">
        <v>0</v>
      </c>
      <c r="U522" s="4">
        <v>0</v>
      </c>
      <c r="V522" s="34"/>
      <c r="W522" s="34"/>
      <c r="X522" s="4"/>
      <c r="Y522" s="8"/>
      <c r="Z522" s="8">
        <v>0</v>
      </c>
      <c r="AA522" s="8">
        <f>AB522/365*127</f>
        <v>118461.42465753424</v>
      </c>
      <c r="AB522" s="8">
        <f t="shared" si="172"/>
        <v>340460</v>
      </c>
      <c r="AC522" s="4">
        <f t="shared" si="162"/>
        <v>340460</v>
      </c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</row>
    <row r="523" spans="1:61" s="95" customFormat="1" ht="27.6" customHeight="1" x14ac:dyDescent="0.2">
      <c r="A523" s="138">
        <v>512</v>
      </c>
      <c r="B523" s="58" t="s">
        <v>666</v>
      </c>
      <c r="C523" s="9" t="s">
        <v>221</v>
      </c>
      <c r="D523" s="71">
        <v>43184000</v>
      </c>
      <c r="E523" s="9"/>
      <c r="F523" s="9"/>
      <c r="G523" s="62"/>
      <c r="H523" s="54">
        <v>7.25</v>
      </c>
      <c r="I523" s="34"/>
      <c r="J523" s="34"/>
      <c r="K523" s="34"/>
      <c r="L523" s="8"/>
      <c r="M523" s="8">
        <v>0</v>
      </c>
      <c r="N523" s="8">
        <f t="shared" si="165"/>
        <v>43184000</v>
      </c>
      <c r="O523" s="8"/>
      <c r="P523" s="61"/>
      <c r="Q523" s="8"/>
      <c r="R523" s="4"/>
      <c r="S523" s="143">
        <f t="shared" si="159"/>
        <v>43184000</v>
      </c>
      <c r="T523" s="4">
        <v>0</v>
      </c>
      <c r="U523" s="4">
        <v>0</v>
      </c>
      <c r="V523" s="34"/>
      <c r="W523" s="34"/>
      <c r="X523" s="4"/>
      <c r="Y523" s="8"/>
      <c r="Z523" s="8">
        <v>0</v>
      </c>
      <c r="AA523" s="8">
        <f>AB523/365*122</f>
        <v>1046472.5479452055</v>
      </c>
      <c r="AB523" s="8">
        <f t="shared" si="172"/>
        <v>3130840</v>
      </c>
      <c r="AC523" s="4">
        <f t="shared" si="162"/>
        <v>3130840</v>
      </c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</row>
    <row r="524" spans="1:61" s="95" customFormat="1" ht="27.6" customHeight="1" x14ac:dyDescent="0.2">
      <c r="A524" s="9">
        <v>513</v>
      </c>
      <c r="B524" s="58" t="s">
        <v>670</v>
      </c>
      <c r="C524" s="9" t="s">
        <v>221</v>
      </c>
      <c r="D524" s="71">
        <v>23284000</v>
      </c>
      <c r="E524" s="9"/>
      <c r="F524" s="9"/>
      <c r="G524" s="62"/>
      <c r="H524" s="54">
        <v>7.25</v>
      </c>
      <c r="I524" s="34"/>
      <c r="J524" s="34"/>
      <c r="K524" s="34"/>
      <c r="L524" s="8"/>
      <c r="M524" s="8">
        <v>0</v>
      </c>
      <c r="N524" s="8">
        <f t="shared" si="165"/>
        <v>23284000</v>
      </c>
      <c r="O524" s="8"/>
      <c r="P524" s="61"/>
      <c r="Q524" s="8"/>
      <c r="R524" s="4"/>
      <c r="S524" s="143">
        <f t="shared" si="159"/>
        <v>23284000</v>
      </c>
      <c r="T524" s="4">
        <v>0</v>
      </c>
      <c r="U524" s="4">
        <v>0</v>
      </c>
      <c r="V524" s="34"/>
      <c r="W524" s="34"/>
      <c r="X524" s="4"/>
      <c r="Y524" s="8"/>
      <c r="Z524" s="8">
        <v>0</v>
      </c>
      <c r="AA524" s="8">
        <f>AB524/365*90</f>
        <v>416241.36986301368</v>
      </c>
      <c r="AB524" s="8">
        <f t="shared" si="172"/>
        <v>1688090</v>
      </c>
      <c r="AC524" s="4">
        <f t="shared" si="162"/>
        <v>1688090</v>
      </c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</row>
    <row r="525" spans="1:61" s="95" customFormat="1" ht="27.6" customHeight="1" x14ac:dyDescent="0.2">
      <c r="A525" s="138">
        <v>514</v>
      </c>
      <c r="B525" s="58" t="s">
        <v>671</v>
      </c>
      <c r="C525" s="9" t="s">
        <v>221</v>
      </c>
      <c r="D525" s="71">
        <v>9519000</v>
      </c>
      <c r="E525" s="9"/>
      <c r="F525" s="9"/>
      <c r="G525" s="62"/>
      <c r="H525" s="54">
        <v>7.25</v>
      </c>
      <c r="I525" s="34"/>
      <c r="J525" s="34"/>
      <c r="K525" s="34"/>
      <c r="L525" s="8"/>
      <c r="M525" s="8">
        <v>0</v>
      </c>
      <c r="N525" s="8">
        <f t="shared" si="165"/>
        <v>9519000</v>
      </c>
      <c r="O525" s="8"/>
      <c r="P525" s="61"/>
      <c r="Q525" s="8"/>
      <c r="R525" s="4"/>
      <c r="S525" s="143">
        <f t="shared" si="159"/>
        <v>9519000</v>
      </c>
      <c r="T525" s="4">
        <v>0</v>
      </c>
      <c r="U525" s="4">
        <v>0</v>
      </c>
      <c r="V525" s="34"/>
      <c r="W525" s="34"/>
      <c r="X525" s="4"/>
      <c r="Y525" s="8"/>
      <c r="Z525" s="8">
        <v>0</v>
      </c>
      <c r="AA525" s="8">
        <f>AB525/365*84</f>
        <v>158823.86301369863</v>
      </c>
      <c r="AB525" s="8">
        <f t="shared" si="172"/>
        <v>690127.5</v>
      </c>
      <c r="AC525" s="4">
        <f t="shared" si="162"/>
        <v>690127.5</v>
      </c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</row>
    <row r="526" spans="1:61" s="95" customFormat="1" ht="27.6" customHeight="1" x14ac:dyDescent="0.2">
      <c r="A526" s="9">
        <v>515</v>
      </c>
      <c r="B526" s="58" t="s">
        <v>673</v>
      </c>
      <c r="C526" s="9" t="s">
        <v>221</v>
      </c>
      <c r="D526" s="71">
        <v>9516000</v>
      </c>
      <c r="E526" s="9"/>
      <c r="F526" s="9"/>
      <c r="G526" s="62"/>
      <c r="H526" s="54">
        <v>7.25</v>
      </c>
      <c r="I526" s="34"/>
      <c r="J526" s="34"/>
      <c r="K526" s="34"/>
      <c r="L526" s="8"/>
      <c r="M526" s="8">
        <v>0</v>
      </c>
      <c r="N526" s="8">
        <f t="shared" si="165"/>
        <v>9516000</v>
      </c>
      <c r="O526" s="8"/>
      <c r="P526" s="61"/>
      <c r="Q526" s="8"/>
      <c r="R526" s="4"/>
      <c r="S526" s="143">
        <f t="shared" si="159"/>
        <v>9516000</v>
      </c>
      <c r="T526" s="4">
        <v>0</v>
      </c>
      <c r="U526" s="4">
        <v>0</v>
      </c>
      <c r="V526" s="34"/>
      <c r="W526" s="34"/>
      <c r="X526" s="4"/>
      <c r="Y526" s="8"/>
      <c r="Z526" s="8">
        <v>0</v>
      </c>
      <c r="AA526" s="8">
        <f>AB526/365*69</f>
        <v>130421.34246575343</v>
      </c>
      <c r="AB526" s="8">
        <f t="shared" si="172"/>
        <v>689910</v>
      </c>
      <c r="AC526" s="4">
        <f t="shared" si="162"/>
        <v>689910</v>
      </c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</row>
    <row r="527" spans="1:61" s="95" customFormat="1" ht="27.6" customHeight="1" x14ac:dyDescent="0.2">
      <c r="A527" s="138">
        <v>516</v>
      </c>
      <c r="B527" s="58" t="s">
        <v>744</v>
      </c>
      <c r="C527" s="9" t="s">
        <v>221</v>
      </c>
      <c r="D527" s="71">
        <v>2766000</v>
      </c>
      <c r="E527" s="9"/>
      <c r="F527" s="9"/>
      <c r="G527" s="62"/>
      <c r="H527" s="54">
        <v>7.5</v>
      </c>
      <c r="I527" s="34"/>
      <c r="J527" s="34"/>
      <c r="K527" s="34"/>
      <c r="L527" s="8"/>
      <c r="M527" s="8">
        <v>0</v>
      </c>
      <c r="N527" s="8">
        <f t="shared" si="165"/>
        <v>2766000</v>
      </c>
      <c r="O527" s="8"/>
      <c r="P527" s="61"/>
      <c r="Q527" s="8"/>
      <c r="R527" s="4"/>
      <c r="S527" s="143">
        <f t="shared" si="159"/>
        <v>2766000</v>
      </c>
      <c r="T527" s="4">
        <v>0</v>
      </c>
      <c r="U527" s="4">
        <v>0</v>
      </c>
      <c r="V527" s="34"/>
      <c r="W527" s="34"/>
      <c r="X527" s="4"/>
      <c r="Y527" s="8"/>
      <c r="Z527" s="8">
        <v>0</v>
      </c>
      <c r="AA527" s="8">
        <f>(N527*7.5%)/365*39</f>
        <v>22165.890410958906</v>
      </c>
      <c r="AB527" s="8">
        <f>N527*7.5/100</f>
        <v>207450</v>
      </c>
      <c r="AC527" s="4">
        <f t="shared" si="162"/>
        <v>207450</v>
      </c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</row>
    <row r="528" spans="1:61" s="95" customFormat="1" ht="27.6" customHeight="1" x14ac:dyDescent="0.2">
      <c r="A528" s="9">
        <v>517</v>
      </c>
      <c r="B528" s="58" t="s">
        <v>745</v>
      </c>
      <c r="C528" s="9" t="s">
        <v>221</v>
      </c>
      <c r="D528" s="71">
        <v>88324000</v>
      </c>
      <c r="E528" s="9"/>
      <c r="F528" s="9"/>
      <c r="G528" s="62"/>
      <c r="H528" s="54">
        <v>7.5</v>
      </c>
      <c r="I528" s="34"/>
      <c r="J528" s="34"/>
      <c r="K528" s="34"/>
      <c r="L528" s="8"/>
      <c r="M528" s="8">
        <v>0</v>
      </c>
      <c r="N528" s="8">
        <f t="shared" si="165"/>
        <v>88324000</v>
      </c>
      <c r="O528" s="8"/>
      <c r="P528" s="61"/>
      <c r="Q528" s="8"/>
      <c r="R528" s="4"/>
      <c r="S528" s="143">
        <f t="shared" si="159"/>
        <v>88324000</v>
      </c>
      <c r="T528" s="4">
        <v>0</v>
      </c>
      <c r="U528" s="4">
        <v>0</v>
      </c>
      <c r="V528" s="34"/>
      <c r="W528" s="34"/>
      <c r="X528" s="4"/>
      <c r="Y528" s="8"/>
      <c r="Z528" s="8">
        <v>0</v>
      </c>
      <c r="AA528" s="8">
        <f>(N528*7.5%)/365*29</f>
        <v>526314.24657534249</v>
      </c>
      <c r="AB528" s="8">
        <f>N528*7.5/100</f>
        <v>6624300</v>
      </c>
      <c r="AC528" s="4">
        <f t="shared" si="162"/>
        <v>6624300</v>
      </c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</row>
    <row r="529" spans="1:61" s="95" customFormat="1" ht="27.6" customHeight="1" x14ac:dyDescent="0.2">
      <c r="A529" s="138">
        <v>518</v>
      </c>
      <c r="B529" s="58" t="s">
        <v>753</v>
      </c>
      <c r="C529" s="9" t="s">
        <v>221</v>
      </c>
      <c r="D529" s="71">
        <v>16849000</v>
      </c>
      <c r="E529" s="9"/>
      <c r="F529" s="9"/>
      <c r="G529" s="62"/>
      <c r="H529" s="54">
        <v>7.5</v>
      </c>
      <c r="I529" s="34"/>
      <c r="J529" s="34"/>
      <c r="K529" s="34"/>
      <c r="L529" s="8"/>
      <c r="M529" s="8">
        <v>0</v>
      </c>
      <c r="N529" s="8">
        <f t="shared" si="165"/>
        <v>16849000</v>
      </c>
      <c r="O529" s="8"/>
      <c r="P529" s="61"/>
      <c r="Q529" s="8"/>
      <c r="R529" s="4"/>
      <c r="S529" s="143">
        <f t="shared" si="159"/>
        <v>16849000</v>
      </c>
      <c r="T529" s="4">
        <v>0</v>
      </c>
      <c r="U529" s="4">
        <v>0</v>
      </c>
      <c r="V529" s="34"/>
      <c r="W529" s="34"/>
      <c r="X529" s="4"/>
      <c r="Y529" s="8"/>
      <c r="Z529" s="8">
        <v>0</v>
      </c>
      <c r="AA529" s="8">
        <f>(N529*7.5%)/365*7</f>
        <v>24234.863013698632</v>
      </c>
      <c r="AB529" s="8">
        <f t="shared" ref="AB529:AB530" si="173">N529*7.5/100</f>
        <v>1263675</v>
      </c>
      <c r="AC529" s="4">
        <f t="shared" si="162"/>
        <v>1263675</v>
      </c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</row>
    <row r="530" spans="1:61" s="95" customFormat="1" ht="27.6" customHeight="1" x14ac:dyDescent="0.2">
      <c r="A530" s="9">
        <v>519</v>
      </c>
      <c r="B530" s="58" t="s">
        <v>755</v>
      </c>
      <c r="C530" s="9" t="s">
        <v>221</v>
      </c>
      <c r="D530" s="71">
        <v>9866000</v>
      </c>
      <c r="E530" s="9"/>
      <c r="F530" s="9"/>
      <c r="G530" s="62"/>
      <c r="H530" s="54">
        <v>7.5</v>
      </c>
      <c r="I530" s="34"/>
      <c r="J530" s="34"/>
      <c r="K530" s="34"/>
      <c r="L530" s="8"/>
      <c r="M530" s="8">
        <v>0</v>
      </c>
      <c r="N530" s="8">
        <f t="shared" si="165"/>
        <v>9866000</v>
      </c>
      <c r="O530" s="8"/>
      <c r="P530" s="61"/>
      <c r="Q530" s="8"/>
      <c r="R530" s="4"/>
      <c r="S530" s="143">
        <f t="shared" si="159"/>
        <v>9866000</v>
      </c>
      <c r="T530" s="4">
        <v>0</v>
      </c>
      <c r="U530" s="4">
        <v>0</v>
      </c>
      <c r="V530" s="34"/>
      <c r="W530" s="34"/>
      <c r="X530" s="4"/>
      <c r="Y530" s="8"/>
      <c r="Z530" s="8">
        <v>0</v>
      </c>
      <c r="AA530" s="8">
        <f>(N530*7.5%)/365*5</f>
        <v>10136.301369863015</v>
      </c>
      <c r="AB530" s="8">
        <f t="shared" si="173"/>
        <v>739950</v>
      </c>
      <c r="AC530" s="4">
        <f t="shared" si="162"/>
        <v>739950</v>
      </c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</row>
    <row r="531" spans="1:61" s="95" customFormat="1" ht="27.6" customHeight="1" x14ac:dyDescent="0.2">
      <c r="A531" s="138">
        <v>520</v>
      </c>
      <c r="B531" s="58" t="s">
        <v>757</v>
      </c>
      <c r="C531" s="9" t="s">
        <v>221</v>
      </c>
      <c r="D531" s="71">
        <v>12367000</v>
      </c>
      <c r="E531" s="9"/>
      <c r="F531" s="9"/>
      <c r="G531" s="62"/>
      <c r="H531" s="54">
        <v>7.5</v>
      </c>
      <c r="I531" s="34"/>
      <c r="J531" s="34"/>
      <c r="K531" s="34"/>
      <c r="L531" s="8"/>
      <c r="M531" s="8">
        <v>0</v>
      </c>
      <c r="N531" s="8">
        <v>0</v>
      </c>
      <c r="O531" s="8"/>
      <c r="P531" s="61"/>
      <c r="Q531" s="8"/>
      <c r="R531" s="4"/>
      <c r="S531" s="143">
        <f>D531</f>
        <v>12367000</v>
      </c>
      <c r="T531" s="4">
        <v>0</v>
      </c>
      <c r="U531" s="4">
        <v>0</v>
      </c>
      <c r="V531" s="34"/>
      <c r="W531" s="34"/>
      <c r="X531" s="4"/>
      <c r="Y531" s="8"/>
      <c r="Z531" s="8">
        <v>0</v>
      </c>
      <c r="AA531" s="8">
        <v>0</v>
      </c>
      <c r="AB531" s="8">
        <f>(D531*7.5%)/365*273</f>
        <v>693737.87671232875</v>
      </c>
      <c r="AC531" s="4">
        <f t="shared" si="162"/>
        <v>927525</v>
      </c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</row>
    <row r="532" spans="1:61" s="95" customFormat="1" ht="27.6" customHeight="1" x14ac:dyDescent="0.2">
      <c r="A532" s="9">
        <v>521</v>
      </c>
      <c r="B532" s="58" t="s">
        <v>771</v>
      </c>
      <c r="C532" s="9" t="s">
        <v>221</v>
      </c>
      <c r="D532" s="71">
        <v>4541000</v>
      </c>
      <c r="E532" s="9"/>
      <c r="F532" s="9"/>
      <c r="G532" s="62"/>
      <c r="H532" s="54">
        <v>7.5</v>
      </c>
      <c r="I532" s="34"/>
      <c r="J532" s="34"/>
      <c r="K532" s="34"/>
      <c r="L532" s="8"/>
      <c r="M532" s="8">
        <v>0</v>
      </c>
      <c r="N532" s="8">
        <v>0</v>
      </c>
      <c r="O532" s="8"/>
      <c r="P532" s="61"/>
      <c r="Q532" s="8"/>
      <c r="R532" s="4"/>
      <c r="S532" s="143">
        <f>D532</f>
        <v>4541000</v>
      </c>
      <c r="T532" s="4">
        <v>0</v>
      </c>
      <c r="U532" s="4">
        <v>0</v>
      </c>
      <c r="V532" s="34"/>
      <c r="W532" s="34"/>
      <c r="X532" s="4"/>
      <c r="Y532" s="8"/>
      <c r="Z532" s="8">
        <v>0</v>
      </c>
      <c r="AA532" s="8">
        <v>0</v>
      </c>
      <c r="AB532" s="8">
        <f>(S532*7.5%)/365*191</f>
        <v>178218.69863013699</v>
      </c>
      <c r="AC532" s="4">
        <f t="shared" si="162"/>
        <v>340575</v>
      </c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</row>
    <row r="533" spans="1:61" s="95" customFormat="1" ht="27.6" customHeight="1" x14ac:dyDescent="0.2">
      <c r="A533" s="138">
        <v>522</v>
      </c>
      <c r="B533" s="58" t="s">
        <v>786</v>
      </c>
      <c r="C533" s="9" t="s">
        <v>221</v>
      </c>
      <c r="D533" s="71">
        <v>25075000</v>
      </c>
      <c r="E533" s="9"/>
      <c r="F533" s="9"/>
      <c r="G533" s="62"/>
      <c r="H533" s="54">
        <v>7.5</v>
      </c>
      <c r="I533" s="34"/>
      <c r="J533" s="34"/>
      <c r="K533" s="34"/>
      <c r="L533" s="8"/>
      <c r="M533" s="8">
        <v>0</v>
      </c>
      <c r="N533" s="8">
        <v>0</v>
      </c>
      <c r="O533" s="8"/>
      <c r="P533" s="61"/>
      <c r="Q533" s="8"/>
      <c r="R533" s="4"/>
      <c r="S533" s="143">
        <f t="shared" ref="S533" si="174">D533</f>
        <v>25075000</v>
      </c>
      <c r="T533" s="4">
        <v>0</v>
      </c>
      <c r="U533" s="4">
        <v>0</v>
      </c>
      <c r="V533" s="34"/>
      <c r="W533" s="34"/>
      <c r="X533" s="4"/>
      <c r="Y533" s="8"/>
      <c r="Z533" s="8">
        <v>0</v>
      </c>
      <c r="AA533" s="8">
        <v>0</v>
      </c>
      <c r="AB533" s="8">
        <f>(S533*7.5%)/365*92</f>
        <v>474020.54794520547</v>
      </c>
      <c r="AC533" s="4">
        <f t="shared" si="162"/>
        <v>1880625</v>
      </c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</row>
    <row r="534" spans="1:61" s="107" customFormat="1" ht="39.75" customHeight="1" x14ac:dyDescent="0.2">
      <c r="A534" s="114"/>
      <c r="B534" s="110"/>
      <c r="C534" s="105" t="s">
        <v>123</v>
      </c>
      <c r="D534" s="109">
        <f>SUM(D365:D533)</f>
        <v>7243300000</v>
      </c>
      <c r="E534" s="109">
        <f>SUM(E366:E369)</f>
        <v>28</v>
      </c>
      <c r="F534" s="109">
        <f>SUM(F366:F369)</f>
        <v>8</v>
      </c>
      <c r="G534" s="109">
        <f>SUM(G366:G369)</f>
        <v>0</v>
      </c>
      <c r="H534" s="109"/>
      <c r="I534" s="109">
        <f>SUM(I366:I369)</f>
        <v>0</v>
      </c>
      <c r="J534" s="109">
        <f>SUM(J365:J377)</f>
        <v>0</v>
      </c>
      <c r="K534" s="109">
        <f>SUM(K365:K461)</f>
        <v>2842271000</v>
      </c>
      <c r="L534" s="109">
        <f>SUM(L365:L496)</f>
        <v>4039650000</v>
      </c>
      <c r="M534" s="109">
        <f t="shared" ref="M534:AC534" si="175">SUM(M365:M533)</f>
        <v>5931636200</v>
      </c>
      <c r="N534" s="109">
        <f t="shared" si="175"/>
        <v>5518323200</v>
      </c>
      <c r="O534" s="109">
        <f t="shared" si="175"/>
        <v>0</v>
      </c>
      <c r="P534" s="109">
        <f t="shared" si="175"/>
        <v>0</v>
      </c>
      <c r="Q534" s="109">
        <f t="shared" si="175"/>
        <v>0</v>
      </c>
      <c r="R534" s="109">
        <f t="shared" si="175"/>
        <v>306611600</v>
      </c>
      <c r="S534" s="109">
        <f t="shared" si="175"/>
        <v>4454474800</v>
      </c>
      <c r="T534" s="109">
        <f t="shared" si="175"/>
        <v>807929000</v>
      </c>
      <c r="U534" s="109">
        <f t="shared" si="175"/>
        <v>1105831400</v>
      </c>
      <c r="V534" s="109">
        <f t="shared" si="175"/>
        <v>0</v>
      </c>
      <c r="W534" s="109">
        <f t="shared" si="175"/>
        <v>14440137</v>
      </c>
      <c r="X534" s="109">
        <f t="shared" si="175"/>
        <v>200173933</v>
      </c>
      <c r="Y534" s="109">
        <f t="shared" si="175"/>
        <v>290185796</v>
      </c>
      <c r="Z534" s="109">
        <f t="shared" si="175"/>
        <v>1361343200</v>
      </c>
      <c r="AA534" s="109">
        <f t="shared" si="175"/>
        <v>349345262.02054793</v>
      </c>
      <c r="AB534" s="109">
        <f t="shared" si="175"/>
        <v>375719465.12328768</v>
      </c>
      <c r="AC534" s="109">
        <f t="shared" si="175"/>
        <v>305643172</v>
      </c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</row>
    <row r="535" spans="1:61" s="37" customFormat="1" ht="27.6" customHeight="1" x14ac:dyDescent="0.2">
      <c r="A535" s="9">
        <v>523</v>
      </c>
      <c r="B535" s="58" t="s">
        <v>324</v>
      </c>
      <c r="C535" s="9" t="s">
        <v>345</v>
      </c>
      <c r="D535" s="71">
        <v>677377000</v>
      </c>
      <c r="E535" s="9"/>
      <c r="F535" s="9"/>
      <c r="G535" s="62"/>
      <c r="H535" s="54">
        <v>6.5</v>
      </c>
      <c r="I535" s="94"/>
      <c r="J535" s="94"/>
      <c r="K535" s="34">
        <v>677377000</v>
      </c>
      <c r="L535" s="34">
        <f t="shared" ref="L535:L566" si="176">D535</f>
        <v>677377000</v>
      </c>
      <c r="M535" s="8">
        <v>541901600</v>
      </c>
      <c r="N535" s="8">
        <f t="shared" ref="N535:N547" si="177">M535-U535</f>
        <v>406426200</v>
      </c>
      <c r="O535" s="34"/>
      <c r="P535" s="34"/>
      <c r="Q535" s="34">
        <v>0</v>
      </c>
      <c r="R535" s="34">
        <v>0</v>
      </c>
      <c r="S535" s="34">
        <f>N535-U535</f>
        <v>270950800</v>
      </c>
      <c r="T535" s="4">
        <f>D535/5</f>
        <v>135475400</v>
      </c>
      <c r="U535" s="4">
        <f>T535</f>
        <v>135475400</v>
      </c>
      <c r="V535" s="34"/>
      <c r="W535" s="34"/>
      <c r="X535" s="34">
        <v>44029505</v>
      </c>
      <c r="Y535" s="34">
        <v>44029505</v>
      </c>
      <c r="Z535" s="34">
        <f>U535</f>
        <v>135475400</v>
      </c>
      <c r="AA535" s="4">
        <f>M535*6.5/100</f>
        <v>35223604</v>
      </c>
      <c r="AB535" s="8">
        <f>N535*6.5/100</f>
        <v>26417703</v>
      </c>
      <c r="AC535" s="4">
        <f t="shared" ref="AC535:AC598" si="178">S535*H535%</f>
        <v>17611802</v>
      </c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</row>
    <row r="536" spans="1:61" s="37" customFormat="1" ht="27.6" customHeight="1" x14ac:dyDescent="0.2">
      <c r="A536" s="9">
        <v>524</v>
      </c>
      <c r="B536" s="58" t="s">
        <v>346</v>
      </c>
      <c r="C536" s="9" t="s">
        <v>345</v>
      </c>
      <c r="D536" s="71">
        <v>109185000</v>
      </c>
      <c r="E536" s="9"/>
      <c r="F536" s="9"/>
      <c r="G536" s="62"/>
      <c r="H536" s="54">
        <v>6.5</v>
      </c>
      <c r="I536" s="94"/>
      <c r="J536" s="94"/>
      <c r="K536" s="34">
        <v>109185000</v>
      </c>
      <c r="L536" s="34">
        <f t="shared" si="176"/>
        <v>109185000</v>
      </c>
      <c r="M536" s="8">
        <v>87348000</v>
      </c>
      <c r="N536" s="8">
        <f t="shared" si="177"/>
        <v>65511000</v>
      </c>
      <c r="O536" s="34"/>
      <c r="P536" s="34"/>
      <c r="Q536" s="34">
        <v>0</v>
      </c>
      <c r="R536" s="34">
        <v>0</v>
      </c>
      <c r="S536" s="34">
        <f t="shared" ref="S536:S599" si="179">N536-U536</f>
        <v>43674000</v>
      </c>
      <c r="T536" s="4">
        <f t="shared" ref="T536:T547" si="180">D536/5</f>
        <v>21837000</v>
      </c>
      <c r="U536" s="4">
        <f t="shared" ref="U536:U547" si="181">T536</f>
        <v>21837000</v>
      </c>
      <c r="V536" s="34"/>
      <c r="W536" s="34"/>
      <c r="X536" s="34">
        <v>7097025</v>
      </c>
      <c r="Y536" s="34">
        <v>7097025</v>
      </c>
      <c r="Z536" s="34">
        <f t="shared" ref="Z536:Z599" si="182">U536</f>
        <v>21837000</v>
      </c>
      <c r="AA536" s="4">
        <f t="shared" ref="AA536:AA547" si="183">M536*6.5/100</f>
        <v>5677620</v>
      </c>
      <c r="AB536" s="8">
        <f t="shared" ref="AB536:AB599" si="184">N536*6.5/100</f>
        <v>4258215</v>
      </c>
      <c r="AC536" s="4">
        <f t="shared" si="178"/>
        <v>2838810</v>
      </c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</row>
    <row r="537" spans="1:61" s="37" customFormat="1" ht="27.6" customHeight="1" x14ac:dyDescent="0.2">
      <c r="A537" s="9">
        <v>525</v>
      </c>
      <c r="B537" s="58" t="s">
        <v>347</v>
      </c>
      <c r="C537" s="9" t="s">
        <v>345</v>
      </c>
      <c r="D537" s="71">
        <v>112993000</v>
      </c>
      <c r="E537" s="9"/>
      <c r="F537" s="9"/>
      <c r="G537" s="62"/>
      <c r="H537" s="54">
        <v>6.5</v>
      </c>
      <c r="I537" s="94"/>
      <c r="J537" s="94"/>
      <c r="K537" s="34">
        <v>112993000</v>
      </c>
      <c r="L537" s="34">
        <f t="shared" si="176"/>
        <v>112993000</v>
      </c>
      <c r="M537" s="8">
        <v>90394400</v>
      </c>
      <c r="N537" s="8">
        <f t="shared" si="177"/>
        <v>67795800</v>
      </c>
      <c r="O537" s="34"/>
      <c r="P537" s="34"/>
      <c r="Q537" s="34">
        <v>0</v>
      </c>
      <c r="R537" s="34">
        <v>0</v>
      </c>
      <c r="S537" s="34">
        <f t="shared" si="179"/>
        <v>45197200</v>
      </c>
      <c r="T537" s="4">
        <f t="shared" si="180"/>
        <v>22598600</v>
      </c>
      <c r="U537" s="4">
        <f t="shared" si="181"/>
        <v>22598600</v>
      </c>
      <c r="V537" s="34"/>
      <c r="W537" s="34"/>
      <c r="X537" s="34">
        <v>7344545</v>
      </c>
      <c r="Y537" s="34">
        <v>7344545</v>
      </c>
      <c r="Z537" s="34">
        <f t="shared" si="182"/>
        <v>22598600</v>
      </c>
      <c r="AA537" s="4">
        <f t="shared" si="183"/>
        <v>5875636</v>
      </c>
      <c r="AB537" s="8">
        <f t="shared" si="184"/>
        <v>4406727</v>
      </c>
      <c r="AC537" s="4">
        <f t="shared" si="178"/>
        <v>2937818</v>
      </c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</row>
    <row r="538" spans="1:61" s="37" customFormat="1" ht="27.6" customHeight="1" x14ac:dyDescent="0.2">
      <c r="A538" s="9">
        <v>526</v>
      </c>
      <c r="B538" s="58" t="s">
        <v>327</v>
      </c>
      <c r="C538" s="9" t="s">
        <v>345</v>
      </c>
      <c r="D538" s="71">
        <v>34967000</v>
      </c>
      <c r="E538" s="9"/>
      <c r="F538" s="9"/>
      <c r="G538" s="62"/>
      <c r="H538" s="54">
        <v>6.5</v>
      </c>
      <c r="I538" s="94"/>
      <c r="J538" s="94"/>
      <c r="K538" s="34">
        <v>34967000</v>
      </c>
      <c r="L538" s="34">
        <f t="shared" si="176"/>
        <v>34967000</v>
      </c>
      <c r="M538" s="8">
        <v>27973600</v>
      </c>
      <c r="N538" s="8">
        <f t="shared" si="177"/>
        <v>20980200</v>
      </c>
      <c r="O538" s="34"/>
      <c r="P538" s="34"/>
      <c r="Q538" s="34">
        <v>0</v>
      </c>
      <c r="R538" s="34">
        <v>0</v>
      </c>
      <c r="S538" s="34">
        <f t="shared" si="179"/>
        <v>13986800</v>
      </c>
      <c r="T538" s="4">
        <f t="shared" si="180"/>
        <v>6993400</v>
      </c>
      <c r="U538" s="4">
        <f t="shared" si="181"/>
        <v>6993400</v>
      </c>
      <c r="V538" s="34"/>
      <c r="W538" s="34"/>
      <c r="X538" s="34">
        <v>2272855</v>
      </c>
      <c r="Y538" s="34">
        <v>2272855</v>
      </c>
      <c r="Z538" s="34">
        <f t="shared" si="182"/>
        <v>6993400</v>
      </c>
      <c r="AA538" s="4">
        <f t="shared" si="183"/>
        <v>1818284</v>
      </c>
      <c r="AB538" s="8">
        <f t="shared" si="184"/>
        <v>1363713</v>
      </c>
      <c r="AC538" s="4">
        <f t="shared" si="178"/>
        <v>909142</v>
      </c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</row>
    <row r="539" spans="1:61" s="95" customFormat="1" ht="27.6" customHeight="1" x14ac:dyDescent="0.2">
      <c r="A539" s="9">
        <v>527</v>
      </c>
      <c r="B539" s="58" t="s">
        <v>352</v>
      </c>
      <c r="C539" s="9" t="s">
        <v>345</v>
      </c>
      <c r="D539" s="71">
        <v>61497000</v>
      </c>
      <c r="E539" s="9"/>
      <c r="F539" s="9"/>
      <c r="G539" s="62"/>
      <c r="H539" s="54">
        <v>6.5</v>
      </c>
      <c r="I539" s="94"/>
      <c r="J539" s="94"/>
      <c r="K539" s="34">
        <v>61497000</v>
      </c>
      <c r="L539" s="34">
        <f t="shared" si="176"/>
        <v>61497000</v>
      </c>
      <c r="M539" s="8">
        <v>49197600</v>
      </c>
      <c r="N539" s="8">
        <f t="shared" si="177"/>
        <v>36898200</v>
      </c>
      <c r="O539" s="34"/>
      <c r="P539" s="34"/>
      <c r="Q539" s="34">
        <v>0</v>
      </c>
      <c r="R539" s="34">
        <v>0</v>
      </c>
      <c r="S539" s="34">
        <f t="shared" si="179"/>
        <v>24598800</v>
      </c>
      <c r="T539" s="4">
        <f t="shared" si="180"/>
        <v>12299400</v>
      </c>
      <c r="U539" s="4">
        <f t="shared" si="181"/>
        <v>12299400</v>
      </c>
      <c r="V539" s="34"/>
      <c r="W539" s="34"/>
      <c r="X539" s="34">
        <v>3997305</v>
      </c>
      <c r="Y539" s="34">
        <v>3997305</v>
      </c>
      <c r="Z539" s="34">
        <f t="shared" si="182"/>
        <v>12299400</v>
      </c>
      <c r="AA539" s="4">
        <f t="shared" si="183"/>
        <v>3197844</v>
      </c>
      <c r="AB539" s="8">
        <f t="shared" si="184"/>
        <v>2398383</v>
      </c>
      <c r="AC539" s="4">
        <f t="shared" si="178"/>
        <v>1598922</v>
      </c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</row>
    <row r="540" spans="1:61" s="95" customFormat="1" ht="27.6" customHeight="1" x14ac:dyDescent="0.2">
      <c r="A540" s="9">
        <v>528</v>
      </c>
      <c r="B540" s="58" t="s">
        <v>352</v>
      </c>
      <c r="C540" s="9" t="s">
        <v>345</v>
      </c>
      <c r="D540" s="71">
        <v>288389000</v>
      </c>
      <c r="E540" s="9"/>
      <c r="F540" s="9"/>
      <c r="G540" s="62"/>
      <c r="H540" s="54">
        <v>6.5</v>
      </c>
      <c r="I540" s="94"/>
      <c r="J540" s="94"/>
      <c r="K540" s="34">
        <v>288389000</v>
      </c>
      <c r="L540" s="34">
        <f t="shared" si="176"/>
        <v>288389000</v>
      </c>
      <c r="M540" s="8">
        <v>230711200</v>
      </c>
      <c r="N540" s="8">
        <f t="shared" si="177"/>
        <v>173033400</v>
      </c>
      <c r="O540" s="34"/>
      <c r="P540" s="34"/>
      <c r="Q540" s="34">
        <v>0</v>
      </c>
      <c r="R540" s="34">
        <v>0</v>
      </c>
      <c r="S540" s="34">
        <f t="shared" si="179"/>
        <v>115355600</v>
      </c>
      <c r="T540" s="4">
        <f t="shared" si="180"/>
        <v>57677800</v>
      </c>
      <c r="U540" s="4">
        <f t="shared" si="181"/>
        <v>57677800</v>
      </c>
      <c r="V540" s="34"/>
      <c r="W540" s="34"/>
      <c r="X540" s="34">
        <v>18745285</v>
      </c>
      <c r="Y540" s="34">
        <v>18745285</v>
      </c>
      <c r="Z540" s="34">
        <f t="shared" si="182"/>
        <v>57677800</v>
      </c>
      <c r="AA540" s="4">
        <f t="shared" si="183"/>
        <v>14996228</v>
      </c>
      <c r="AB540" s="8">
        <f t="shared" si="184"/>
        <v>11247171</v>
      </c>
      <c r="AC540" s="4">
        <f t="shared" si="178"/>
        <v>7498114</v>
      </c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</row>
    <row r="541" spans="1:61" s="95" customFormat="1" ht="27.6" customHeight="1" x14ac:dyDescent="0.2">
      <c r="A541" s="9">
        <v>529</v>
      </c>
      <c r="B541" s="58" t="s">
        <v>355</v>
      </c>
      <c r="C541" s="9" t="s">
        <v>345</v>
      </c>
      <c r="D541" s="71">
        <v>75717000</v>
      </c>
      <c r="E541" s="9"/>
      <c r="F541" s="9"/>
      <c r="G541" s="62"/>
      <c r="H541" s="54">
        <v>6.5</v>
      </c>
      <c r="I541" s="94"/>
      <c r="J541" s="94"/>
      <c r="K541" s="34">
        <v>75717000</v>
      </c>
      <c r="L541" s="34">
        <f t="shared" si="176"/>
        <v>75717000</v>
      </c>
      <c r="M541" s="8">
        <v>60573600</v>
      </c>
      <c r="N541" s="8">
        <f t="shared" si="177"/>
        <v>45430200</v>
      </c>
      <c r="O541" s="34"/>
      <c r="P541" s="34"/>
      <c r="Q541" s="34">
        <v>0</v>
      </c>
      <c r="R541" s="34">
        <v>0</v>
      </c>
      <c r="S541" s="34">
        <f t="shared" si="179"/>
        <v>30286800</v>
      </c>
      <c r="T541" s="4">
        <f t="shared" si="180"/>
        <v>15143400</v>
      </c>
      <c r="U541" s="4">
        <f t="shared" si="181"/>
        <v>15143400</v>
      </c>
      <c r="V541" s="34"/>
      <c r="W541" s="34"/>
      <c r="X541" s="34">
        <v>4921605</v>
      </c>
      <c r="Y541" s="34">
        <v>4921605</v>
      </c>
      <c r="Z541" s="34">
        <f t="shared" si="182"/>
        <v>15143400</v>
      </c>
      <c r="AA541" s="4">
        <f t="shared" si="183"/>
        <v>3937284</v>
      </c>
      <c r="AB541" s="8">
        <f t="shared" si="184"/>
        <v>2952963</v>
      </c>
      <c r="AC541" s="4">
        <f t="shared" si="178"/>
        <v>1968642</v>
      </c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</row>
    <row r="542" spans="1:61" s="95" customFormat="1" ht="27.6" customHeight="1" x14ac:dyDescent="0.2">
      <c r="A542" s="9">
        <v>530</v>
      </c>
      <c r="B542" s="58" t="s">
        <v>356</v>
      </c>
      <c r="C542" s="9" t="s">
        <v>345</v>
      </c>
      <c r="D542" s="71">
        <v>109544000</v>
      </c>
      <c r="E542" s="9"/>
      <c r="F542" s="9"/>
      <c r="G542" s="62"/>
      <c r="H542" s="54">
        <v>6.5</v>
      </c>
      <c r="I542" s="94"/>
      <c r="J542" s="94"/>
      <c r="K542" s="34">
        <v>109544000</v>
      </c>
      <c r="L542" s="34">
        <f t="shared" si="176"/>
        <v>109544000</v>
      </c>
      <c r="M542" s="8">
        <v>87635200</v>
      </c>
      <c r="N542" s="8">
        <f>M542-U542</f>
        <v>65726400</v>
      </c>
      <c r="O542" s="34"/>
      <c r="P542" s="34"/>
      <c r="Q542" s="34">
        <v>0</v>
      </c>
      <c r="R542" s="34">
        <v>0</v>
      </c>
      <c r="S542" s="34">
        <f t="shared" si="179"/>
        <v>43817600</v>
      </c>
      <c r="T542" s="4">
        <f t="shared" si="180"/>
        <v>21908800</v>
      </c>
      <c r="U542" s="4">
        <f t="shared" si="181"/>
        <v>21908800</v>
      </c>
      <c r="V542" s="34"/>
      <c r="W542" s="34"/>
      <c r="X542" s="34">
        <v>7120360</v>
      </c>
      <c r="Y542" s="34">
        <v>7120360</v>
      </c>
      <c r="Z542" s="34">
        <f t="shared" si="182"/>
        <v>21908800</v>
      </c>
      <c r="AA542" s="4">
        <f t="shared" si="183"/>
        <v>5696288</v>
      </c>
      <c r="AB542" s="8">
        <f t="shared" si="184"/>
        <v>4272216</v>
      </c>
      <c r="AC542" s="4">
        <f t="shared" si="178"/>
        <v>2848144</v>
      </c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</row>
    <row r="543" spans="1:61" s="95" customFormat="1" ht="27.6" customHeight="1" x14ac:dyDescent="0.2">
      <c r="A543" s="9">
        <v>531</v>
      </c>
      <c r="B543" s="58" t="s">
        <v>357</v>
      </c>
      <c r="C543" s="9" t="s">
        <v>345</v>
      </c>
      <c r="D543" s="71">
        <v>57737000</v>
      </c>
      <c r="E543" s="9"/>
      <c r="F543" s="9"/>
      <c r="G543" s="62"/>
      <c r="H543" s="54">
        <v>6.5</v>
      </c>
      <c r="I543" s="94"/>
      <c r="J543" s="94"/>
      <c r="K543" s="34">
        <v>57737000</v>
      </c>
      <c r="L543" s="34">
        <f t="shared" si="176"/>
        <v>57737000</v>
      </c>
      <c r="M543" s="8">
        <v>46189600</v>
      </c>
      <c r="N543" s="8">
        <f t="shared" si="177"/>
        <v>34642200</v>
      </c>
      <c r="O543" s="34"/>
      <c r="P543" s="34"/>
      <c r="Q543" s="34">
        <v>0</v>
      </c>
      <c r="R543" s="34">
        <v>0</v>
      </c>
      <c r="S543" s="34">
        <f t="shared" si="179"/>
        <v>23094800</v>
      </c>
      <c r="T543" s="4">
        <f t="shared" si="180"/>
        <v>11547400</v>
      </c>
      <c r="U543" s="4">
        <f t="shared" si="181"/>
        <v>11547400</v>
      </c>
      <c r="V543" s="34"/>
      <c r="W543" s="34"/>
      <c r="X543" s="34">
        <v>3752905</v>
      </c>
      <c r="Y543" s="34">
        <v>3752905</v>
      </c>
      <c r="Z543" s="34">
        <f t="shared" si="182"/>
        <v>11547400</v>
      </c>
      <c r="AA543" s="4">
        <f t="shared" si="183"/>
        <v>3002324</v>
      </c>
      <c r="AB543" s="8">
        <f t="shared" si="184"/>
        <v>2251743</v>
      </c>
      <c r="AC543" s="4">
        <f t="shared" si="178"/>
        <v>1501162</v>
      </c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</row>
    <row r="544" spans="1:61" s="95" customFormat="1" ht="27.6" customHeight="1" x14ac:dyDescent="0.2">
      <c r="A544" s="9">
        <v>532</v>
      </c>
      <c r="B544" s="58" t="s">
        <v>358</v>
      </c>
      <c r="C544" s="9" t="s">
        <v>345</v>
      </c>
      <c r="D544" s="71">
        <v>37290000</v>
      </c>
      <c r="E544" s="9"/>
      <c r="F544" s="9"/>
      <c r="G544" s="62"/>
      <c r="H544" s="54">
        <v>6.5</v>
      </c>
      <c r="I544" s="94"/>
      <c r="J544" s="94"/>
      <c r="K544" s="34">
        <v>37290000</v>
      </c>
      <c r="L544" s="34">
        <f t="shared" si="176"/>
        <v>37290000</v>
      </c>
      <c r="M544" s="8">
        <v>29832000</v>
      </c>
      <c r="N544" s="8">
        <f t="shared" si="177"/>
        <v>22374000</v>
      </c>
      <c r="O544" s="34"/>
      <c r="P544" s="34"/>
      <c r="Q544" s="34">
        <v>0</v>
      </c>
      <c r="R544" s="34">
        <v>0</v>
      </c>
      <c r="S544" s="34">
        <f t="shared" si="179"/>
        <v>14916000</v>
      </c>
      <c r="T544" s="4">
        <f t="shared" si="180"/>
        <v>7458000</v>
      </c>
      <c r="U544" s="4">
        <f t="shared" si="181"/>
        <v>7458000</v>
      </c>
      <c r="V544" s="34"/>
      <c r="W544" s="34"/>
      <c r="X544" s="34">
        <v>2423850</v>
      </c>
      <c r="Y544" s="34">
        <v>2423850</v>
      </c>
      <c r="Z544" s="34">
        <f t="shared" si="182"/>
        <v>7458000</v>
      </c>
      <c r="AA544" s="4">
        <f t="shared" si="183"/>
        <v>1939080</v>
      </c>
      <c r="AB544" s="8">
        <f t="shared" si="184"/>
        <v>1454310</v>
      </c>
      <c r="AC544" s="4">
        <f t="shared" si="178"/>
        <v>969540</v>
      </c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</row>
    <row r="545" spans="1:61" s="95" customFormat="1" ht="27.6" customHeight="1" x14ac:dyDescent="0.2">
      <c r="A545" s="9">
        <v>533</v>
      </c>
      <c r="B545" s="58" t="s">
        <v>361</v>
      </c>
      <c r="C545" s="9" t="s">
        <v>345</v>
      </c>
      <c r="D545" s="71">
        <v>22478000</v>
      </c>
      <c r="E545" s="9"/>
      <c r="F545" s="9"/>
      <c r="G545" s="62"/>
      <c r="H545" s="54">
        <v>6.5</v>
      </c>
      <c r="I545" s="94"/>
      <c r="J545" s="94"/>
      <c r="K545" s="34">
        <v>22478000</v>
      </c>
      <c r="L545" s="34">
        <f t="shared" si="176"/>
        <v>22478000</v>
      </c>
      <c r="M545" s="8">
        <v>17982400</v>
      </c>
      <c r="N545" s="8">
        <f t="shared" si="177"/>
        <v>13486800</v>
      </c>
      <c r="O545" s="34"/>
      <c r="P545" s="34"/>
      <c r="Q545" s="34">
        <v>0</v>
      </c>
      <c r="R545" s="34">
        <v>0</v>
      </c>
      <c r="S545" s="34">
        <f t="shared" si="179"/>
        <v>8991200</v>
      </c>
      <c r="T545" s="4">
        <f t="shared" si="180"/>
        <v>4495600</v>
      </c>
      <c r="U545" s="4">
        <f t="shared" si="181"/>
        <v>4495600</v>
      </c>
      <c r="V545" s="34"/>
      <c r="W545" s="34"/>
      <c r="X545" s="34">
        <v>1461070</v>
      </c>
      <c r="Y545" s="34">
        <v>1461070</v>
      </c>
      <c r="Z545" s="34">
        <f t="shared" si="182"/>
        <v>4495600</v>
      </c>
      <c r="AA545" s="4">
        <f t="shared" si="183"/>
        <v>1168856</v>
      </c>
      <c r="AB545" s="8">
        <f t="shared" si="184"/>
        <v>876642</v>
      </c>
      <c r="AC545" s="4">
        <f t="shared" si="178"/>
        <v>584428</v>
      </c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</row>
    <row r="546" spans="1:61" s="95" customFormat="1" ht="27.6" customHeight="1" x14ac:dyDescent="0.2">
      <c r="A546" s="9">
        <v>534</v>
      </c>
      <c r="B546" s="58" t="s">
        <v>363</v>
      </c>
      <c r="C546" s="9" t="s">
        <v>345</v>
      </c>
      <c r="D546" s="71">
        <v>53284000</v>
      </c>
      <c r="E546" s="9"/>
      <c r="F546" s="9"/>
      <c r="G546" s="62"/>
      <c r="H546" s="54">
        <v>6.5</v>
      </c>
      <c r="I546" s="94"/>
      <c r="J546" s="94"/>
      <c r="K546" s="34">
        <v>53284000</v>
      </c>
      <c r="L546" s="34">
        <f t="shared" si="176"/>
        <v>53284000</v>
      </c>
      <c r="M546" s="8">
        <v>42627200</v>
      </c>
      <c r="N546" s="8">
        <f t="shared" si="177"/>
        <v>31970400</v>
      </c>
      <c r="O546" s="34"/>
      <c r="P546" s="34"/>
      <c r="Q546" s="34">
        <v>0</v>
      </c>
      <c r="R546" s="34">
        <v>0</v>
      </c>
      <c r="S546" s="34">
        <f t="shared" si="179"/>
        <v>21313600</v>
      </c>
      <c r="T546" s="4">
        <f t="shared" si="180"/>
        <v>10656800</v>
      </c>
      <c r="U546" s="4">
        <f t="shared" si="181"/>
        <v>10656800</v>
      </c>
      <c r="V546" s="34"/>
      <c r="W546" s="34"/>
      <c r="X546" s="34">
        <v>3463460</v>
      </c>
      <c r="Y546" s="34">
        <v>3463460</v>
      </c>
      <c r="Z546" s="34">
        <f t="shared" si="182"/>
        <v>10656800</v>
      </c>
      <c r="AA546" s="4">
        <f t="shared" si="183"/>
        <v>2770768</v>
      </c>
      <c r="AB546" s="8">
        <f t="shared" si="184"/>
        <v>2078076</v>
      </c>
      <c r="AC546" s="4">
        <f t="shared" si="178"/>
        <v>1385384</v>
      </c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</row>
    <row r="547" spans="1:61" s="95" customFormat="1" ht="27.6" customHeight="1" x14ac:dyDescent="0.2">
      <c r="A547" s="9">
        <v>535</v>
      </c>
      <c r="B547" s="58" t="s">
        <v>365</v>
      </c>
      <c r="C547" s="9" t="s">
        <v>345</v>
      </c>
      <c r="D547" s="71">
        <v>33587000</v>
      </c>
      <c r="E547" s="9"/>
      <c r="F547" s="9"/>
      <c r="G547" s="62"/>
      <c r="H547" s="54">
        <v>6.5</v>
      </c>
      <c r="I547" s="94"/>
      <c r="J547" s="94"/>
      <c r="K547" s="34">
        <v>33587000</v>
      </c>
      <c r="L547" s="34">
        <f t="shared" si="176"/>
        <v>33587000</v>
      </c>
      <c r="M547" s="8">
        <v>26869600</v>
      </c>
      <c r="N547" s="8">
        <f t="shared" si="177"/>
        <v>20152200</v>
      </c>
      <c r="O547" s="34"/>
      <c r="P547" s="34"/>
      <c r="Q547" s="34">
        <v>0</v>
      </c>
      <c r="R547" s="34">
        <v>0</v>
      </c>
      <c r="S547" s="34">
        <f t="shared" si="179"/>
        <v>13434800</v>
      </c>
      <c r="T547" s="4">
        <f t="shared" si="180"/>
        <v>6717400</v>
      </c>
      <c r="U547" s="4">
        <f t="shared" si="181"/>
        <v>6717400</v>
      </c>
      <c r="V547" s="34"/>
      <c r="W547" s="34"/>
      <c r="X547" s="34">
        <v>2183155</v>
      </c>
      <c r="Y547" s="34">
        <v>2183155</v>
      </c>
      <c r="Z547" s="34">
        <f t="shared" si="182"/>
        <v>6717400</v>
      </c>
      <c r="AA547" s="4">
        <f t="shared" si="183"/>
        <v>1746524</v>
      </c>
      <c r="AB547" s="8">
        <f t="shared" si="184"/>
        <v>1309893</v>
      </c>
      <c r="AC547" s="4">
        <f t="shared" si="178"/>
        <v>873262</v>
      </c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</row>
    <row r="548" spans="1:61" s="95" customFormat="1" ht="27.6" customHeight="1" x14ac:dyDescent="0.2">
      <c r="A548" s="9">
        <v>536</v>
      </c>
      <c r="B548" s="58" t="s">
        <v>381</v>
      </c>
      <c r="C548" s="9" t="s">
        <v>345</v>
      </c>
      <c r="D548" s="71">
        <v>28390000</v>
      </c>
      <c r="E548" s="9"/>
      <c r="F548" s="9"/>
      <c r="G548" s="62"/>
      <c r="H548" s="54">
        <v>6.5</v>
      </c>
      <c r="I548" s="94"/>
      <c r="J548" s="94"/>
      <c r="K548" s="34">
        <v>0</v>
      </c>
      <c r="L548" s="34">
        <f t="shared" si="176"/>
        <v>28390000</v>
      </c>
      <c r="M548" s="8">
        <v>28390000</v>
      </c>
      <c r="N548" s="8">
        <f>M548-T548</f>
        <v>22712000</v>
      </c>
      <c r="O548" s="34"/>
      <c r="P548" s="34"/>
      <c r="Q548" s="34">
        <v>0</v>
      </c>
      <c r="R548" s="34">
        <v>0</v>
      </c>
      <c r="S548" s="34">
        <f t="shared" si="179"/>
        <v>17034000</v>
      </c>
      <c r="T548" s="4">
        <f>U548</f>
        <v>5678000</v>
      </c>
      <c r="U548" s="4">
        <f>M548/5</f>
        <v>5678000</v>
      </c>
      <c r="V548" s="34"/>
      <c r="W548" s="34"/>
      <c r="X548" s="34">
        <v>1769514</v>
      </c>
      <c r="Y548" s="34">
        <v>1845350</v>
      </c>
      <c r="Z548" s="34">
        <f t="shared" si="182"/>
        <v>5678000</v>
      </c>
      <c r="AA548" s="4">
        <f>M548*6.5/100</f>
        <v>1845350</v>
      </c>
      <c r="AB548" s="8">
        <f t="shared" si="184"/>
        <v>1476280</v>
      </c>
      <c r="AC548" s="4">
        <f t="shared" si="178"/>
        <v>1107210</v>
      </c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</row>
    <row r="549" spans="1:61" s="95" customFormat="1" ht="27.6" customHeight="1" x14ac:dyDescent="0.2">
      <c r="A549" s="9">
        <v>537</v>
      </c>
      <c r="B549" s="58" t="s">
        <v>381</v>
      </c>
      <c r="C549" s="9" t="s">
        <v>345</v>
      </c>
      <c r="D549" s="71">
        <v>87668000</v>
      </c>
      <c r="E549" s="9"/>
      <c r="F549" s="9"/>
      <c r="G549" s="62"/>
      <c r="H549" s="54">
        <v>6.5</v>
      </c>
      <c r="I549" s="94"/>
      <c r="J549" s="94"/>
      <c r="K549" s="34">
        <v>0</v>
      </c>
      <c r="L549" s="34">
        <f t="shared" si="176"/>
        <v>87668000</v>
      </c>
      <c r="M549" s="8">
        <f t="shared" ref="M549:M574" si="185">L549-R549</f>
        <v>87668000</v>
      </c>
      <c r="N549" s="8">
        <f t="shared" ref="N549:N599" si="186">M549-T549</f>
        <v>70134400</v>
      </c>
      <c r="O549" s="34"/>
      <c r="P549" s="34"/>
      <c r="Q549" s="34">
        <v>0</v>
      </c>
      <c r="R549" s="34">
        <v>0</v>
      </c>
      <c r="S549" s="34">
        <f t="shared" si="179"/>
        <v>52600800</v>
      </c>
      <c r="T549" s="4">
        <f t="shared" ref="T549:T574" si="187">U549</f>
        <v>17533600</v>
      </c>
      <c r="U549" s="4">
        <f t="shared" ref="U549:U573" si="188">M549/5</f>
        <v>17533600</v>
      </c>
      <c r="V549" s="34"/>
      <c r="W549" s="34"/>
      <c r="X549" s="34">
        <v>5464238</v>
      </c>
      <c r="Y549" s="34">
        <v>5698420</v>
      </c>
      <c r="Z549" s="34">
        <f t="shared" si="182"/>
        <v>17533600</v>
      </c>
      <c r="AA549" s="4">
        <f t="shared" ref="AA549:AA574" si="189">M549*6.5/100</f>
        <v>5698420</v>
      </c>
      <c r="AB549" s="8">
        <f t="shared" si="184"/>
        <v>4558736</v>
      </c>
      <c r="AC549" s="4">
        <f t="shared" si="178"/>
        <v>3419052</v>
      </c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</row>
    <row r="550" spans="1:61" s="95" customFormat="1" ht="27.6" customHeight="1" x14ac:dyDescent="0.2">
      <c r="A550" s="9">
        <v>538</v>
      </c>
      <c r="B550" s="58" t="s">
        <v>382</v>
      </c>
      <c r="C550" s="9" t="s">
        <v>345</v>
      </c>
      <c r="D550" s="71">
        <v>15075000</v>
      </c>
      <c r="E550" s="9"/>
      <c r="F550" s="9"/>
      <c r="G550" s="62"/>
      <c r="H550" s="54">
        <v>6.5</v>
      </c>
      <c r="I550" s="94"/>
      <c r="J550" s="94"/>
      <c r="K550" s="34">
        <v>0</v>
      </c>
      <c r="L550" s="34">
        <f t="shared" si="176"/>
        <v>15075000</v>
      </c>
      <c r="M550" s="8">
        <f t="shared" si="185"/>
        <v>15075000</v>
      </c>
      <c r="N550" s="8">
        <f t="shared" si="186"/>
        <v>12060000</v>
      </c>
      <c r="O550" s="34"/>
      <c r="P550" s="34"/>
      <c r="Q550" s="34">
        <v>0</v>
      </c>
      <c r="R550" s="34">
        <v>0</v>
      </c>
      <c r="S550" s="34">
        <f t="shared" si="179"/>
        <v>9045000</v>
      </c>
      <c r="T550" s="4">
        <f t="shared" si="187"/>
        <v>3015000</v>
      </c>
      <c r="U550" s="4">
        <f t="shared" si="188"/>
        <v>3015000</v>
      </c>
      <c r="V550" s="34"/>
      <c r="W550" s="34"/>
      <c r="X550" s="34">
        <v>928868</v>
      </c>
      <c r="Y550" s="34">
        <v>999875</v>
      </c>
      <c r="Z550" s="34">
        <f t="shared" si="182"/>
        <v>3015000</v>
      </c>
      <c r="AA550" s="4">
        <f t="shared" si="189"/>
        <v>979875</v>
      </c>
      <c r="AB550" s="8">
        <f t="shared" si="184"/>
        <v>783900</v>
      </c>
      <c r="AC550" s="4">
        <f t="shared" si="178"/>
        <v>587925</v>
      </c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</row>
    <row r="551" spans="1:61" s="95" customFormat="1" ht="27.6" customHeight="1" x14ac:dyDescent="0.2">
      <c r="A551" s="9">
        <v>539</v>
      </c>
      <c r="B551" s="58" t="s">
        <v>389</v>
      </c>
      <c r="C551" s="9" t="s">
        <v>345</v>
      </c>
      <c r="D551" s="71">
        <v>51942000</v>
      </c>
      <c r="E551" s="9"/>
      <c r="F551" s="9"/>
      <c r="G551" s="62"/>
      <c r="H551" s="54">
        <v>6.5</v>
      </c>
      <c r="I551" s="94"/>
      <c r="J551" s="94"/>
      <c r="K551" s="34">
        <v>0</v>
      </c>
      <c r="L551" s="34">
        <f t="shared" si="176"/>
        <v>51942000</v>
      </c>
      <c r="M551" s="8">
        <f t="shared" si="185"/>
        <v>51942000</v>
      </c>
      <c r="N551" s="8">
        <f t="shared" si="186"/>
        <v>41553600</v>
      </c>
      <c r="O551" s="34"/>
      <c r="P551" s="34"/>
      <c r="Q551" s="34">
        <v>0</v>
      </c>
      <c r="R551" s="34">
        <v>0</v>
      </c>
      <c r="S551" s="34">
        <f t="shared" si="179"/>
        <v>31165200</v>
      </c>
      <c r="T551" s="4">
        <f t="shared" si="187"/>
        <v>10388400</v>
      </c>
      <c r="U551" s="4">
        <f t="shared" si="188"/>
        <v>10388400</v>
      </c>
      <c r="V551" s="34"/>
      <c r="W551" s="34"/>
      <c r="X551" s="34">
        <v>2293986</v>
      </c>
      <c r="Y551" s="34">
        <v>3376230</v>
      </c>
      <c r="Z551" s="34">
        <f t="shared" si="182"/>
        <v>10388400</v>
      </c>
      <c r="AA551" s="4">
        <f t="shared" si="189"/>
        <v>3376230</v>
      </c>
      <c r="AB551" s="8">
        <f t="shared" si="184"/>
        <v>2700984</v>
      </c>
      <c r="AC551" s="4">
        <f t="shared" si="178"/>
        <v>2025738</v>
      </c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</row>
    <row r="552" spans="1:61" s="95" customFormat="1" ht="27.6" customHeight="1" x14ac:dyDescent="0.2">
      <c r="A552" s="9">
        <v>540</v>
      </c>
      <c r="B552" s="58" t="s">
        <v>395</v>
      </c>
      <c r="C552" s="9" t="s">
        <v>345</v>
      </c>
      <c r="D552" s="71">
        <v>37800000</v>
      </c>
      <c r="E552" s="9"/>
      <c r="F552" s="9"/>
      <c r="G552" s="62"/>
      <c r="H552" s="54">
        <v>6.5</v>
      </c>
      <c r="I552" s="94"/>
      <c r="J552" s="94"/>
      <c r="K552" s="34">
        <v>0</v>
      </c>
      <c r="L552" s="34">
        <f t="shared" si="176"/>
        <v>37800000</v>
      </c>
      <c r="M552" s="8">
        <f t="shared" si="185"/>
        <v>37800000</v>
      </c>
      <c r="N552" s="8">
        <f t="shared" si="186"/>
        <v>30240000</v>
      </c>
      <c r="O552" s="34"/>
      <c r="P552" s="34"/>
      <c r="Q552" s="34">
        <v>0</v>
      </c>
      <c r="R552" s="34">
        <v>0</v>
      </c>
      <c r="S552" s="34">
        <f t="shared" si="179"/>
        <v>22680000</v>
      </c>
      <c r="T552" s="4">
        <f t="shared" si="187"/>
        <v>7560000</v>
      </c>
      <c r="U552" s="4">
        <f t="shared" si="188"/>
        <v>7560000</v>
      </c>
      <c r="V552" s="34"/>
      <c r="W552" s="34"/>
      <c r="X552" s="34">
        <v>1521321</v>
      </c>
      <c r="Y552" s="34">
        <v>2457000</v>
      </c>
      <c r="Z552" s="34">
        <f t="shared" si="182"/>
        <v>7560000</v>
      </c>
      <c r="AA552" s="4">
        <f t="shared" si="189"/>
        <v>2457000</v>
      </c>
      <c r="AB552" s="8">
        <f t="shared" si="184"/>
        <v>1965600</v>
      </c>
      <c r="AC552" s="4">
        <f t="shared" si="178"/>
        <v>1474200</v>
      </c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</row>
    <row r="553" spans="1:61" s="95" customFormat="1" ht="27.6" customHeight="1" x14ac:dyDescent="0.2">
      <c r="A553" s="9">
        <v>541</v>
      </c>
      <c r="B553" s="58" t="s">
        <v>395</v>
      </c>
      <c r="C553" s="9" t="s">
        <v>345</v>
      </c>
      <c r="D553" s="71">
        <v>17900000</v>
      </c>
      <c r="E553" s="9"/>
      <c r="F553" s="9"/>
      <c r="G553" s="62"/>
      <c r="H553" s="54">
        <v>6.5</v>
      </c>
      <c r="I553" s="94"/>
      <c r="J553" s="94"/>
      <c r="K553" s="34">
        <v>0</v>
      </c>
      <c r="L553" s="34">
        <f t="shared" si="176"/>
        <v>17900000</v>
      </c>
      <c r="M553" s="8">
        <f t="shared" si="185"/>
        <v>17900000</v>
      </c>
      <c r="N553" s="8">
        <f t="shared" si="186"/>
        <v>14320000</v>
      </c>
      <c r="O553" s="34"/>
      <c r="P553" s="34"/>
      <c r="Q553" s="34">
        <v>0</v>
      </c>
      <c r="R553" s="34">
        <v>0</v>
      </c>
      <c r="S553" s="34">
        <f t="shared" si="179"/>
        <v>10740000</v>
      </c>
      <c r="T553" s="4">
        <f t="shared" si="187"/>
        <v>3580000</v>
      </c>
      <c r="U553" s="4">
        <f t="shared" si="188"/>
        <v>3580000</v>
      </c>
      <c r="V553" s="34"/>
      <c r="W553" s="34"/>
      <c r="X553" s="34">
        <v>720414</v>
      </c>
      <c r="Y553" s="34">
        <v>1163500</v>
      </c>
      <c r="Z553" s="34">
        <f t="shared" si="182"/>
        <v>3580000</v>
      </c>
      <c r="AA553" s="4">
        <f t="shared" si="189"/>
        <v>1163500</v>
      </c>
      <c r="AB553" s="8">
        <f t="shared" si="184"/>
        <v>930800</v>
      </c>
      <c r="AC553" s="4">
        <f t="shared" si="178"/>
        <v>698100</v>
      </c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</row>
    <row r="554" spans="1:61" s="95" customFormat="1" ht="27.6" customHeight="1" x14ac:dyDescent="0.2">
      <c r="A554" s="9">
        <v>542</v>
      </c>
      <c r="B554" s="58" t="s">
        <v>396</v>
      </c>
      <c r="C554" s="9" t="s">
        <v>345</v>
      </c>
      <c r="D554" s="71">
        <v>13700000</v>
      </c>
      <c r="E554" s="9"/>
      <c r="F554" s="9"/>
      <c r="G554" s="62"/>
      <c r="H554" s="54">
        <v>6.5</v>
      </c>
      <c r="I554" s="94"/>
      <c r="J554" s="94"/>
      <c r="K554" s="34">
        <v>0</v>
      </c>
      <c r="L554" s="34">
        <f t="shared" si="176"/>
        <v>13700000</v>
      </c>
      <c r="M554" s="8">
        <f t="shared" si="185"/>
        <v>13700000</v>
      </c>
      <c r="N554" s="8">
        <f t="shared" si="186"/>
        <v>10960000</v>
      </c>
      <c r="O554" s="34"/>
      <c r="P554" s="34"/>
      <c r="Q554" s="34">
        <v>0</v>
      </c>
      <c r="R554" s="34">
        <v>0</v>
      </c>
      <c r="S554" s="34">
        <f t="shared" si="179"/>
        <v>8220000</v>
      </c>
      <c r="T554" s="4">
        <f t="shared" si="187"/>
        <v>2740000</v>
      </c>
      <c r="U554" s="4">
        <f t="shared" si="188"/>
        <v>2740000</v>
      </c>
      <c r="V554" s="34"/>
      <c r="W554" s="34"/>
      <c r="X554" s="34">
        <v>536740</v>
      </c>
      <c r="Y554" s="34">
        <v>890500</v>
      </c>
      <c r="Z554" s="34">
        <f t="shared" si="182"/>
        <v>2740000</v>
      </c>
      <c r="AA554" s="4">
        <f t="shared" si="189"/>
        <v>890500</v>
      </c>
      <c r="AB554" s="8">
        <f t="shared" si="184"/>
        <v>712400</v>
      </c>
      <c r="AC554" s="4">
        <f t="shared" si="178"/>
        <v>534300</v>
      </c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</row>
    <row r="555" spans="1:61" s="95" customFormat="1" ht="27.6" customHeight="1" x14ac:dyDescent="0.2">
      <c r="A555" s="9">
        <v>543</v>
      </c>
      <c r="B555" s="58" t="s">
        <v>397</v>
      </c>
      <c r="C555" s="9" t="s">
        <v>345</v>
      </c>
      <c r="D555" s="71">
        <v>49875000</v>
      </c>
      <c r="E555" s="9"/>
      <c r="F555" s="9"/>
      <c r="G555" s="62"/>
      <c r="H555" s="54">
        <v>6.5</v>
      </c>
      <c r="I555" s="94"/>
      <c r="J555" s="94"/>
      <c r="K555" s="34">
        <v>0</v>
      </c>
      <c r="L555" s="34">
        <f t="shared" si="176"/>
        <v>49875000</v>
      </c>
      <c r="M555" s="8">
        <f t="shared" si="185"/>
        <v>49875000</v>
      </c>
      <c r="N555" s="8">
        <f t="shared" si="186"/>
        <v>39900000</v>
      </c>
      <c r="O555" s="34"/>
      <c r="P555" s="34"/>
      <c r="Q555" s="34">
        <v>0</v>
      </c>
      <c r="R555" s="34">
        <v>0</v>
      </c>
      <c r="S555" s="34">
        <f t="shared" si="179"/>
        <v>29925000</v>
      </c>
      <c r="T555" s="4">
        <f t="shared" si="187"/>
        <v>9975000</v>
      </c>
      <c r="U555" s="4">
        <f t="shared" si="188"/>
        <v>9975000</v>
      </c>
      <c r="V555" s="34"/>
      <c r="W555" s="34"/>
      <c r="X555" s="34">
        <v>1936243</v>
      </c>
      <c r="Y555" s="34">
        <v>3241875</v>
      </c>
      <c r="Z555" s="34">
        <f t="shared" si="182"/>
        <v>9975000</v>
      </c>
      <c r="AA555" s="4">
        <f t="shared" si="189"/>
        <v>3241875</v>
      </c>
      <c r="AB555" s="8">
        <f t="shared" si="184"/>
        <v>2593500</v>
      </c>
      <c r="AC555" s="4">
        <f t="shared" si="178"/>
        <v>1945125</v>
      </c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</row>
    <row r="556" spans="1:61" s="95" customFormat="1" ht="27.6" customHeight="1" x14ac:dyDescent="0.2">
      <c r="A556" s="9">
        <v>544</v>
      </c>
      <c r="B556" s="58" t="s">
        <v>402</v>
      </c>
      <c r="C556" s="9" t="s">
        <v>345</v>
      </c>
      <c r="D556" s="71">
        <v>1678000</v>
      </c>
      <c r="E556" s="9"/>
      <c r="F556" s="9"/>
      <c r="G556" s="62"/>
      <c r="H556" s="54">
        <v>6.5</v>
      </c>
      <c r="I556" s="94"/>
      <c r="J556" s="94"/>
      <c r="K556" s="34">
        <v>0</v>
      </c>
      <c r="L556" s="34">
        <f t="shared" si="176"/>
        <v>1678000</v>
      </c>
      <c r="M556" s="8">
        <f t="shared" si="185"/>
        <v>1678000</v>
      </c>
      <c r="N556" s="8">
        <f t="shared" si="186"/>
        <v>1342400</v>
      </c>
      <c r="O556" s="34"/>
      <c r="P556" s="34"/>
      <c r="Q556" s="34">
        <v>0</v>
      </c>
      <c r="R556" s="34">
        <v>0</v>
      </c>
      <c r="S556" s="34">
        <f t="shared" si="179"/>
        <v>1006800</v>
      </c>
      <c r="T556" s="4">
        <f t="shared" si="187"/>
        <v>335600</v>
      </c>
      <c r="U556" s="4">
        <f t="shared" si="188"/>
        <v>335600</v>
      </c>
      <c r="V556" s="34"/>
      <c r="W556" s="34"/>
      <c r="X556" s="34">
        <v>38548</v>
      </c>
      <c r="Y556" s="34">
        <v>109070</v>
      </c>
      <c r="Z556" s="34">
        <f t="shared" si="182"/>
        <v>335600</v>
      </c>
      <c r="AA556" s="4">
        <f t="shared" si="189"/>
        <v>109070</v>
      </c>
      <c r="AB556" s="8">
        <f t="shared" si="184"/>
        <v>87256</v>
      </c>
      <c r="AC556" s="4">
        <f t="shared" si="178"/>
        <v>65442</v>
      </c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</row>
    <row r="557" spans="1:61" s="95" customFormat="1" ht="27.6" customHeight="1" x14ac:dyDescent="0.2">
      <c r="A557" s="9">
        <v>545</v>
      </c>
      <c r="B557" s="58" t="s">
        <v>402</v>
      </c>
      <c r="C557" s="9" t="s">
        <v>345</v>
      </c>
      <c r="D557" s="71">
        <v>84478000</v>
      </c>
      <c r="E557" s="9"/>
      <c r="F557" s="9"/>
      <c r="G557" s="62"/>
      <c r="H557" s="54">
        <v>6.5</v>
      </c>
      <c r="I557" s="94"/>
      <c r="J557" s="94"/>
      <c r="K557" s="34">
        <v>0</v>
      </c>
      <c r="L557" s="34">
        <f t="shared" si="176"/>
        <v>84478000</v>
      </c>
      <c r="M557" s="8">
        <f t="shared" si="185"/>
        <v>84478000</v>
      </c>
      <c r="N557" s="8">
        <f t="shared" si="186"/>
        <v>67582400</v>
      </c>
      <c r="O557" s="34"/>
      <c r="P557" s="34"/>
      <c r="Q557" s="34">
        <v>0</v>
      </c>
      <c r="R557" s="34">
        <v>0</v>
      </c>
      <c r="S557" s="34">
        <f t="shared" si="179"/>
        <v>50686800</v>
      </c>
      <c r="T557" s="4">
        <f t="shared" si="187"/>
        <v>16895600</v>
      </c>
      <c r="U557" s="4">
        <f t="shared" si="188"/>
        <v>16895600</v>
      </c>
      <c r="V557" s="34"/>
      <c r="W557" s="34"/>
      <c r="X557" s="34">
        <v>1940680</v>
      </c>
      <c r="Y557" s="34">
        <v>5491070</v>
      </c>
      <c r="Z557" s="34">
        <f t="shared" si="182"/>
        <v>16895600</v>
      </c>
      <c r="AA557" s="4">
        <f t="shared" si="189"/>
        <v>5491070</v>
      </c>
      <c r="AB557" s="8">
        <f t="shared" si="184"/>
        <v>4392856</v>
      </c>
      <c r="AC557" s="4">
        <f t="shared" si="178"/>
        <v>3294642</v>
      </c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</row>
    <row r="558" spans="1:61" s="95" customFormat="1" ht="27.6" customHeight="1" x14ac:dyDescent="0.2">
      <c r="A558" s="9">
        <v>546</v>
      </c>
      <c r="B558" s="58" t="s">
        <v>404</v>
      </c>
      <c r="C558" s="9" t="s">
        <v>345</v>
      </c>
      <c r="D558" s="71">
        <v>135314000</v>
      </c>
      <c r="E558" s="9"/>
      <c r="F558" s="9"/>
      <c r="G558" s="62"/>
      <c r="H558" s="54">
        <v>6.5</v>
      </c>
      <c r="I558" s="94"/>
      <c r="J558" s="94"/>
      <c r="K558" s="34">
        <v>0</v>
      </c>
      <c r="L558" s="34">
        <f t="shared" si="176"/>
        <v>135314000</v>
      </c>
      <c r="M558" s="8">
        <f t="shared" si="185"/>
        <v>135314000</v>
      </c>
      <c r="N558" s="8">
        <f t="shared" si="186"/>
        <v>108251200</v>
      </c>
      <c r="O558" s="34"/>
      <c r="P558" s="34"/>
      <c r="Q558" s="34">
        <v>0</v>
      </c>
      <c r="R558" s="34">
        <v>0</v>
      </c>
      <c r="S558" s="34">
        <f t="shared" si="179"/>
        <v>81188400</v>
      </c>
      <c r="T558" s="4">
        <f t="shared" si="187"/>
        <v>27062800</v>
      </c>
      <c r="U558" s="4">
        <f t="shared" si="188"/>
        <v>27062800</v>
      </c>
      <c r="V558" s="34"/>
      <c r="W558" s="34"/>
      <c r="X558" s="34">
        <v>2771157</v>
      </c>
      <c r="Y558" s="34">
        <v>8795410</v>
      </c>
      <c r="Z558" s="34">
        <f t="shared" si="182"/>
        <v>27062800</v>
      </c>
      <c r="AA558" s="4">
        <f t="shared" si="189"/>
        <v>8795410</v>
      </c>
      <c r="AB558" s="8">
        <f t="shared" si="184"/>
        <v>7036328</v>
      </c>
      <c r="AC558" s="4">
        <f t="shared" si="178"/>
        <v>5277246</v>
      </c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</row>
    <row r="559" spans="1:61" s="95" customFormat="1" ht="27.6" customHeight="1" x14ac:dyDescent="0.2">
      <c r="A559" s="9">
        <v>547</v>
      </c>
      <c r="B559" s="58" t="s">
        <v>405</v>
      </c>
      <c r="C559" s="9" t="s">
        <v>345</v>
      </c>
      <c r="D559" s="71">
        <v>21057000</v>
      </c>
      <c r="E559" s="9"/>
      <c r="F559" s="9"/>
      <c r="G559" s="62"/>
      <c r="H559" s="54">
        <v>6.5</v>
      </c>
      <c r="I559" s="94"/>
      <c r="J559" s="94"/>
      <c r="K559" s="34">
        <v>0</v>
      </c>
      <c r="L559" s="34">
        <f t="shared" si="176"/>
        <v>21057000</v>
      </c>
      <c r="M559" s="8">
        <f t="shared" si="185"/>
        <v>21057000</v>
      </c>
      <c r="N559" s="8">
        <f t="shared" si="186"/>
        <v>16845600</v>
      </c>
      <c r="O559" s="34"/>
      <c r="P559" s="34"/>
      <c r="Q559" s="34">
        <v>0</v>
      </c>
      <c r="R559" s="34">
        <v>0</v>
      </c>
      <c r="S559" s="34">
        <f t="shared" si="179"/>
        <v>12634200</v>
      </c>
      <c r="T559" s="4">
        <f t="shared" si="187"/>
        <v>4211400</v>
      </c>
      <c r="U559" s="4">
        <f t="shared" si="188"/>
        <v>4211400</v>
      </c>
      <c r="V559" s="34"/>
      <c r="W559" s="34"/>
      <c r="X559" s="34">
        <v>423736</v>
      </c>
      <c r="Y559" s="34">
        <v>1368705</v>
      </c>
      <c r="Z559" s="34">
        <f t="shared" si="182"/>
        <v>4211400</v>
      </c>
      <c r="AA559" s="4">
        <f t="shared" si="189"/>
        <v>1368705</v>
      </c>
      <c r="AB559" s="8">
        <f t="shared" si="184"/>
        <v>1094964</v>
      </c>
      <c r="AC559" s="4">
        <f t="shared" si="178"/>
        <v>821223</v>
      </c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</row>
    <row r="560" spans="1:61" s="95" customFormat="1" ht="27.6" customHeight="1" x14ac:dyDescent="0.2">
      <c r="A560" s="9">
        <v>548</v>
      </c>
      <c r="B560" s="58" t="s">
        <v>407</v>
      </c>
      <c r="C560" s="9" t="s">
        <v>345</v>
      </c>
      <c r="D560" s="71">
        <v>11411000</v>
      </c>
      <c r="E560" s="9"/>
      <c r="F560" s="9"/>
      <c r="G560" s="62"/>
      <c r="H560" s="54">
        <v>6.5</v>
      </c>
      <c r="I560" s="94"/>
      <c r="J560" s="94"/>
      <c r="K560" s="34">
        <v>0</v>
      </c>
      <c r="L560" s="34">
        <f t="shared" si="176"/>
        <v>11411000</v>
      </c>
      <c r="M560" s="8">
        <f t="shared" si="185"/>
        <v>11411000</v>
      </c>
      <c r="N560" s="8">
        <f t="shared" si="186"/>
        <v>9128800</v>
      </c>
      <c r="O560" s="34"/>
      <c r="P560" s="34"/>
      <c r="Q560" s="34">
        <v>0</v>
      </c>
      <c r="R560" s="34">
        <v>0</v>
      </c>
      <c r="S560" s="34">
        <f t="shared" si="179"/>
        <v>6846600</v>
      </c>
      <c r="T560" s="4">
        <f t="shared" si="187"/>
        <v>2282200</v>
      </c>
      <c r="U560" s="4">
        <f t="shared" si="188"/>
        <v>2282200</v>
      </c>
      <c r="V560" s="34"/>
      <c r="W560" s="34"/>
      <c r="X560" s="34">
        <v>191017</v>
      </c>
      <c r="Y560" s="34">
        <v>741715</v>
      </c>
      <c r="Z560" s="34">
        <f t="shared" si="182"/>
        <v>2282200</v>
      </c>
      <c r="AA560" s="4">
        <f t="shared" si="189"/>
        <v>741715</v>
      </c>
      <c r="AB560" s="8">
        <f t="shared" si="184"/>
        <v>593372</v>
      </c>
      <c r="AC560" s="4">
        <f t="shared" si="178"/>
        <v>445029</v>
      </c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</row>
    <row r="561" spans="1:61" s="95" customFormat="1" ht="27.6" customHeight="1" x14ac:dyDescent="0.2">
      <c r="A561" s="9">
        <v>549</v>
      </c>
      <c r="B561" s="58" t="s">
        <v>410</v>
      </c>
      <c r="C561" s="9" t="s">
        <v>345</v>
      </c>
      <c r="D561" s="71">
        <v>60991000</v>
      </c>
      <c r="E561" s="9"/>
      <c r="F561" s="9"/>
      <c r="G561" s="62"/>
      <c r="H561" s="54">
        <v>6.5</v>
      </c>
      <c r="I561" s="94"/>
      <c r="J561" s="94"/>
      <c r="K561" s="34">
        <v>0</v>
      </c>
      <c r="L561" s="34">
        <f t="shared" si="176"/>
        <v>60991000</v>
      </c>
      <c r="M561" s="8">
        <f t="shared" si="185"/>
        <v>60991000</v>
      </c>
      <c r="N561" s="8">
        <f t="shared" si="186"/>
        <v>48792800</v>
      </c>
      <c r="O561" s="34"/>
      <c r="P561" s="34"/>
      <c r="Q561" s="34">
        <v>0</v>
      </c>
      <c r="R561" s="34">
        <v>0</v>
      </c>
      <c r="S561" s="34">
        <f t="shared" si="179"/>
        <v>36594600</v>
      </c>
      <c r="T561" s="4">
        <f t="shared" si="187"/>
        <v>12198200</v>
      </c>
      <c r="U561" s="4">
        <f t="shared" si="188"/>
        <v>12198200</v>
      </c>
      <c r="V561" s="34"/>
      <c r="W561" s="34"/>
      <c r="X561" s="34">
        <v>847190</v>
      </c>
      <c r="Y561" s="34">
        <v>3964415</v>
      </c>
      <c r="Z561" s="34">
        <f t="shared" si="182"/>
        <v>12198200</v>
      </c>
      <c r="AA561" s="4">
        <f t="shared" si="189"/>
        <v>3964415</v>
      </c>
      <c r="AB561" s="8">
        <f t="shared" si="184"/>
        <v>3171532</v>
      </c>
      <c r="AC561" s="4">
        <f t="shared" si="178"/>
        <v>2378649</v>
      </c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</row>
    <row r="562" spans="1:61" s="95" customFormat="1" ht="27.6" customHeight="1" x14ac:dyDescent="0.2">
      <c r="A562" s="9">
        <v>550</v>
      </c>
      <c r="B562" s="58" t="s">
        <v>410</v>
      </c>
      <c r="C562" s="9" t="s">
        <v>345</v>
      </c>
      <c r="D562" s="71">
        <v>30150000</v>
      </c>
      <c r="E562" s="9"/>
      <c r="F562" s="9"/>
      <c r="G562" s="62"/>
      <c r="H562" s="54">
        <v>6.5</v>
      </c>
      <c r="I562" s="94"/>
      <c r="J562" s="94"/>
      <c r="K562" s="34">
        <v>0</v>
      </c>
      <c r="L562" s="34">
        <f t="shared" si="176"/>
        <v>30150000</v>
      </c>
      <c r="M562" s="8">
        <f t="shared" si="185"/>
        <v>30150000</v>
      </c>
      <c r="N562" s="8">
        <f t="shared" si="186"/>
        <v>24120000</v>
      </c>
      <c r="O562" s="34"/>
      <c r="P562" s="34"/>
      <c r="Q562" s="34">
        <v>0</v>
      </c>
      <c r="R562" s="34">
        <v>0</v>
      </c>
      <c r="S562" s="34">
        <f t="shared" si="179"/>
        <v>18090000</v>
      </c>
      <c r="T562" s="4">
        <f t="shared" si="187"/>
        <v>6030000</v>
      </c>
      <c r="U562" s="4">
        <f t="shared" si="188"/>
        <v>6030000</v>
      </c>
      <c r="V562" s="34"/>
      <c r="W562" s="34"/>
      <c r="X562" s="34">
        <v>418796</v>
      </c>
      <c r="Y562" s="34">
        <v>1959750</v>
      </c>
      <c r="Z562" s="34">
        <f t="shared" si="182"/>
        <v>6030000</v>
      </c>
      <c r="AA562" s="4">
        <f t="shared" si="189"/>
        <v>1959750</v>
      </c>
      <c r="AB562" s="8">
        <f t="shared" si="184"/>
        <v>1567800</v>
      </c>
      <c r="AC562" s="4">
        <f t="shared" si="178"/>
        <v>1175850</v>
      </c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</row>
    <row r="563" spans="1:61" s="95" customFormat="1" ht="27.6" customHeight="1" x14ac:dyDescent="0.2">
      <c r="A563" s="9">
        <v>551</v>
      </c>
      <c r="B563" s="58" t="s">
        <v>413</v>
      </c>
      <c r="C563" s="9" t="s">
        <v>345</v>
      </c>
      <c r="D563" s="71">
        <v>4356000</v>
      </c>
      <c r="E563" s="9"/>
      <c r="F563" s="9"/>
      <c r="G563" s="62"/>
      <c r="H563" s="54">
        <v>6.5</v>
      </c>
      <c r="I563" s="94"/>
      <c r="J563" s="94"/>
      <c r="K563" s="34">
        <v>0</v>
      </c>
      <c r="L563" s="34">
        <f t="shared" si="176"/>
        <v>4356000</v>
      </c>
      <c r="M563" s="8">
        <f t="shared" si="185"/>
        <v>4356000</v>
      </c>
      <c r="N563" s="8">
        <f t="shared" si="186"/>
        <v>3484800</v>
      </c>
      <c r="O563" s="34"/>
      <c r="P563" s="34"/>
      <c r="Q563" s="34">
        <v>0</v>
      </c>
      <c r="R563" s="34">
        <v>0</v>
      </c>
      <c r="S563" s="34">
        <f t="shared" si="179"/>
        <v>2613600</v>
      </c>
      <c r="T563" s="4">
        <f t="shared" si="187"/>
        <v>871200</v>
      </c>
      <c r="U563" s="4">
        <f t="shared" si="188"/>
        <v>871200</v>
      </c>
      <c r="V563" s="34"/>
      <c r="W563" s="34"/>
      <c r="X563" s="34">
        <v>55077</v>
      </c>
      <c r="Y563" s="34">
        <v>283140</v>
      </c>
      <c r="Z563" s="34">
        <f t="shared" si="182"/>
        <v>871200</v>
      </c>
      <c r="AA563" s="4">
        <f t="shared" si="189"/>
        <v>283140</v>
      </c>
      <c r="AB563" s="8">
        <f t="shared" si="184"/>
        <v>226512</v>
      </c>
      <c r="AC563" s="4">
        <f t="shared" si="178"/>
        <v>169884</v>
      </c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</row>
    <row r="564" spans="1:61" s="95" customFormat="1" ht="27.6" customHeight="1" x14ac:dyDescent="0.2">
      <c r="A564" s="9">
        <v>552</v>
      </c>
      <c r="B564" s="58" t="s">
        <v>418</v>
      </c>
      <c r="C564" s="9" t="s">
        <v>345</v>
      </c>
      <c r="D564" s="71">
        <v>18417000</v>
      </c>
      <c r="E564" s="9"/>
      <c r="F564" s="9"/>
      <c r="G564" s="62"/>
      <c r="H564" s="54">
        <v>6.5</v>
      </c>
      <c r="I564" s="94"/>
      <c r="J564" s="94"/>
      <c r="K564" s="34">
        <v>0</v>
      </c>
      <c r="L564" s="34">
        <f t="shared" si="176"/>
        <v>18417000</v>
      </c>
      <c r="M564" s="8">
        <f t="shared" si="185"/>
        <v>18417000</v>
      </c>
      <c r="N564" s="8">
        <f t="shared" si="186"/>
        <v>14733600</v>
      </c>
      <c r="O564" s="34"/>
      <c r="P564" s="34"/>
      <c r="Q564" s="34">
        <v>0</v>
      </c>
      <c r="R564" s="34">
        <v>0</v>
      </c>
      <c r="S564" s="34">
        <f t="shared" si="179"/>
        <v>11050200</v>
      </c>
      <c r="T564" s="4">
        <f t="shared" si="187"/>
        <v>3683400</v>
      </c>
      <c r="U564" s="4">
        <f t="shared" si="188"/>
        <v>3683400</v>
      </c>
      <c r="V564" s="34"/>
      <c r="W564" s="34"/>
      <c r="X564" s="34">
        <v>170546</v>
      </c>
      <c r="Y564" s="34">
        <v>1197105</v>
      </c>
      <c r="Z564" s="34">
        <f t="shared" si="182"/>
        <v>3683400</v>
      </c>
      <c r="AA564" s="4">
        <f t="shared" si="189"/>
        <v>1197105</v>
      </c>
      <c r="AB564" s="8">
        <f t="shared" si="184"/>
        <v>957684</v>
      </c>
      <c r="AC564" s="4">
        <f t="shared" si="178"/>
        <v>718263</v>
      </c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</row>
    <row r="565" spans="1:61" s="95" customFormat="1" ht="27.6" customHeight="1" x14ac:dyDescent="0.2">
      <c r="A565" s="9">
        <v>553</v>
      </c>
      <c r="B565" s="58" t="s">
        <v>418</v>
      </c>
      <c r="C565" s="9" t="s">
        <v>345</v>
      </c>
      <c r="D565" s="71">
        <v>102304000</v>
      </c>
      <c r="E565" s="9"/>
      <c r="F565" s="9"/>
      <c r="G565" s="62"/>
      <c r="H565" s="54">
        <v>6.5</v>
      </c>
      <c r="I565" s="94"/>
      <c r="J565" s="94"/>
      <c r="K565" s="34">
        <v>0</v>
      </c>
      <c r="L565" s="34">
        <f t="shared" si="176"/>
        <v>102304000</v>
      </c>
      <c r="M565" s="8">
        <f t="shared" si="185"/>
        <v>102304000</v>
      </c>
      <c r="N565" s="8">
        <f t="shared" si="186"/>
        <v>81843200</v>
      </c>
      <c r="O565" s="34"/>
      <c r="P565" s="34"/>
      <c r="Q565" s="34">
        <v>0</v>
      </c>
      <c r="R565" s="34">
        <v>0</v>
      </c>
      <c r="S565" s="34">
        <f t="shared" si="179"/>
        <v>61382400</v>
      </c>
      <c r="T565" s="4">
        <f t="shared" si="187"/>
        <v>20460800</v>
      </c>
      <c r="U565" s="4">
        <f t="shared" si="188"/>
        <v>20460800</v>
      </c>
      <c r="V565" s="34"/>
      <c r="W565" s="34"/>
      <c r="X565" s="34">
        <v>947363</v>
      </c>
      <c r="Y565" s="34">
        <v>6649760</v>
      </c>
      <c r="Z565" s="34">
        <f t="shared" si="182"/>
        <v>20460800</v>
      </c>
      <c r="AA565" s="4">
        <f t="shared" si="189"/>
        <v>6649760</v>
      </c>
      <c r="AB565" s="8">
        <f t="shared" si="184"/>
        <v>5319808</v>
      </c>
      <c r="AC565" s="4">
        <f t="shared" si="178"/>
        <v>3989856</v>
      </c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</row>
    <row r="566" spans="1:61" s="95" customFormat="1" ht="27.6" customHeight="1" x14ac:dyDescent="0.2">
      <c r="A566" s="9">
        <v>554</v>
      </c>
      <c r="B566" s="58" t="s">
        <v>419</v>
      </c>
      <c r="C566" s="9" t="s">
        <v>345</v>
      </c>
      <c r="D566" s="71">
        <v>110133000</v>
      </c>
      <c r="E566" s="9"/>
      <c r="F566" s="9"/>
      <c r="G566" s="62"/>
      <c r="H566" s="54">
        <v>6.5</v>
      </c>
      <c r="I566" s="94"/>
      <c r="J566" s="94"/>
      <c r="K566" s="34">
        <v>0</v>
      </c>
      <c r="L566" s="34">
        <f t="shared" si="176"/>
        <v>110133000</v>
      </c>
      <c r="M566" s="8">
        <f t="shared" si="185"/>
        <v>110133000</v>
      </c>
      <c r="N566" s="8">
        <f t="shared" si="186"/>
        <v>88106400</v>
      </c>
      <c r="O566" s="34"/>
      <c r="P566" s="34"/>
      <c r="Q566" s="34">
        <v>0</v>
      </c>
      <c r="R566" s="34">
        <v>0</v>
      </c>
      <c r="S566" s="34">
        <f t="shared" si="179"/>
        <v>66079800</v>
      </c>
      <c r="T566" s="4">
        <f t="shared" si="187"/>
        <v>22026600</v>
      </c>
      <c r="U566" s="4">
        <f t="shared" si="188"/>
        <v>22026600</v>
      </c>
      <c r="V566" s="34"/>
      <c r="W566" s="34"/>
      <c r="X566" s="34">
        <v>1000249</v>
      </c>
      <c r="Y566" s="34">
        <v>7158645</v>
      </c>
      <c r="Z566" s="34">
        <f t="shared" si="182"/>
        <v>22026600</v>
      </c>
      <c r="AA566" s="4">
        <f t="shared" si="189"/>
        <v>7158645</v>
      </c>
      <c r="AB566" s="8">
        <f t="shared" si="184"/>
        <v>5726916</v>
      </c>
      <c r="AC566" s="4">
        <f t="shared" si="178"/>
        <v>4295187</v>
      </c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</row>
    <row r="567" spans="1:61" s="95" customFormat="1" ht="27.6" customHeight="1" x14ac:dyDescent="0.2">
      <c r="A567" s="9">
        <v>555</v>
      </c>
      <c r="B567" s="58" t="s">
        <v>448</v>
      </c>
      <c r="C567" s="9" t="s">
        <v>345</v>
      </c>
      <c r="D567" s="71">
        <v>95914000</v>
      </c>
      <c r="E567" s="9"/>
      <c r="F567" s="9"/>
      <c r="G567" s="62"/>
      <c r="H567" s="54">
        <v>6.5</v>
      </c>
      <c r="I567" s="94"/>
      <c r="J567" s="94"/>
      <c r="K567" s="34">
        <v>0</v>
      </c>
      <c r="L567" s="34">
        <v>95914000</v>
      </c>
      <c r="M567" s="8">
        <f t="shared" si="185"/>
        <v>95914000</v>
      </c>
      <c r="N567" s="8">
        <f t="shared" si="186"/>
        <v>76731200</v>
      </c>
      <c r="O567" s="34"/>
      <c r="P567" s="34"/>
      <c r="Q567" s="34">
        <v>0</v>
      </c>
      <c r="R567" s="34">
        <v>0</v>
      </c>
      <c r="S567" s="34">
        <f t="shared" si="179"/>
        <v>57548400</v>
      </c>
      <c r="T567" s="4">
        <f t="shared" si="187"/>
        <v>19182800</v>
      </c>
      <c r="U567" s="4">
        <f t="shared" si="188"/>
        <v>19182800</v>
      </c>
      <c r="V567" s="34"/>
      <c r="W567" s="34"/>
      <c r="X567" s="34">
        <v>768626</v>
      </c>
      <c r="Y567" s="34">
        <v>6234410</v>
      </c>
      <c r="Z567" s="34">
        <f t="shared" si="182"/>
        <v>19182800</v>
      </c>
      <c r="AA567" s="4">
        <f t="shared" si="189"/>
        <v>6234410</v>
      </c>
      <c r="AB567" s="8">
        <f t="shared" si="184"/>
        <v>4987528</v>
      </c>
      <c r="AC567" s="4">
        <f t="shared" si="178"/>
        <v>3740646</v>
      </c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</row>
    <row r="568" spans="1:61" s="95" customFormat="1" ht="27.6" customHeight="1" x14ac:dyDescent="0.2">
      <c r="A568" s="9">
        <v>556</v>
      </c>
      <c r="B568" s="58" t="s">
        <v>449</v>
      </c>
      <c r="C568" s="9" t="s">
        <v>345</v>
      </c>
      <c r="D568" s="71">
        <v>94770000</v>
      </c>
      <c r="E568" s="9"/>
      <c r="F568" s="9"/>
      <c r="G568" s="62"/>
      <c r="H568" s="54">
        <v>6.5</v>
      </c>
      <c r="I568" s="94"/>
      <c r="J568" s="94"/>
      <c r="K568" s="34">
        <v>0</v>
      </c>
      <c r="L568" s="34">
        <v>94770000</v>
      </c>
      <c r="M568" s="8">
        <f t="shared" si="185"/>
        <v>94770000</v>
      </c>
      <c r="N568" s="8">
        <f t="shared" si="186"/>
        <v>75816000</v>
      </c>
      <c r="O568" s="34"/>
      <c r="P568" s="34"/>
      <c r="Q568" s="34">
        <v>0</v>
      </c>
      <c r="R568" s="34">
        <v>0</v>
      </c>
      <c r="S568" s="34">
        <f t="shared" si="179"/>
        <v>56862000</v>
      </c>
      <c r="T568" s="4">
        <f t="shared" si="187"/>
        <v>18954000</v>
      </c>
      <c r="U568" s="4">
        <f t="shared" si="188"/>
        <v>18954000</v>
      </c>
      <c r="V568" s="34"/>
      <c r="W568" s="34"/>
      <c r="X568" s="34">
        <v>725705</v>
      </c>
      <c r="Y568" s="34">
        <v>6160050</v>
      </c>
      <c r="Z568" s="34">
        <f t="shared" si="182"/>
        <v>18954000</v>
      </c>
      <c r="AA568" s="4">
        <f t="shared" si="189"/>
        <v>6160050</v>
      </c>
      <c r="AB568" s="8">
        <f t="shared" si="184"/>
        <v>4928040</v>
      </c>
      <c r="AC568" s="4">
        <f t="shared" si="178"/>
        <v>3696030</v>
      </c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</row>
    <row r="569" spans="1:61" s="95" customFormat="1" ht="27.6" customHeight="1" x14ac:dyDescent="0.2">
      <c r="A569" s="9">
        <v>557</v>
      </c>
      <c r="B569" s="58" t="s">
        <v>455</v>
      </c>
      <c r="C569" s="9" t="s">
        <v>345</v>
      </c>
      <c r="D569" s="71">
        <v>68832000</v>
      </c>
      <c r="E569" s="9"/>
      <c r="F569" s="9"/>
      <c r="G569" s="62"/>
      <c r="H569" s="54">
        <v>6.5</v>
      </c>
      <c r="I569" s="94"/>
      <c r="J569" s="94"/>
      <c r="K569" s="34">
        <v>0</v>
      </c>
      <c r="L569" s="34">
        <v>68832000</v>
      </c>
      <c r="M569" s="8">
        <f t="shared" si="185"/>
        <v>68832000</v>
      </c>
      <c r="N569" s="8">
        <f t="shared" si="186"/>
        <v>55065600</v>
      </c>
      <c r="O569" s="34"/>
      <c r="P569" s="34"/>
      <c r="Q569" s="34">
        <v>0</v>
      </c>
      <c r="R569" s="34">
        <v>0</v>
      </c>
      <c r="S569" s="34">
        <f t="shared" si="179"/>
        <v>41299200</v>
      </c>
      <c r="T569" s="4">
        <f t="shared" si="187"/>
        <v>13766400</v>
      </c>
      <c r="U569" s="4">
        <f t="shared" si="188"/>
        <v>13766400</v>
      </c>
      <c r="V569" s="34"/>
      <c r="W569" s="34"/>
      <c r="X569" s="34">
        <v>171609</v>
      </c>
      <c r="Y569" s="34">
        <v>4474080</v>
      </c>
      <c r="Z569" s="34">
        <f t="shared" si="182"/>
        <v>13766400</v>
      </c>
      <c r="AA569" s="4">
        <f t="shared" si="189"/>
        <v>4474080</v>
      </c>
      <c r="AB569" s="8">
        <f t="shared" si="184"/>
        <v>3579264</v>
      </c>
      <c r="AC569" s="4">
        <f t="shared" si="178"/>
        <v>2684448</v>
      </c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</row>
    <row r="570" spans="1:61" s="95" customFormat="1" ht="27.6" customHeight="1" x14ac:dyDescent="0.2">
      <c r="A570" s="9">
        <v>558</v>
      </c>
      <c r="B570" s="58" t="s">
        <v>458</v>
      </c>
      <c r="C570" s="9" t="s">
        <v>345</v>
      </c>
      <c r="D570" s="71">
        <v>87709000</v>
      </c>
      <c r="E570" s="9"/>
      <c r="F570" s="9"/>
      <c r="G570" s="62"/>
      <c r="H570" s="54">
        <v>6.5</v>
      </c>
      <c r="I570" s="94"/>
      <c r="J570" s="94"/>
      <c r="K570" s="34">
        <v>0</v>
      </c>
      <c r="L570" s="34">
        <v>87709000</v>
      </c>
      <c r="M570" s="8">
        <f t="shared" si="185"/>
        <v>87709000</v>
      </c>
      <c r="N570" s="8">
        <f t="shared" si="186"/>
        <v>70167200</v>
      </c>
      <c r="O570" s="34"/>
      <c r="P570" s="34"/>
      <c r="Q570" s="34">
        <v>0</v>
      </c>
      <c r="R570" s="34">
        <v>0</v>
      </c>
      <c r="S570" s="34">
        <f t="shared" si="179"/>
        <v>52625400</v>
      </c>
      <c r="T570" s="4">
        <f t="shared" si="187"/>
        <v>17541800</v>
      </c>
      <c r="U570" s="4">
        <f t="shared" si="188"/>
        <v>17541800</v>
      </c>
      <c r="V570" s="34"/>
      <c r="W570" s="34"/>
      <c r="X570" s="34">
        <v>109336</v>
      </c>
      <c r="Y570" s="34">
        <v>5701085</v>
      </c>
      <c r="Z570" s="34">
        <f t="shared" si="182"/>
        <v>17541800</v>
      </c>
      <c r="AA570" s="4">
        <f t="shared" si="189"/>
        <v>5701085</v>
      </c>
      <c r="AB570" s="8">
        <f t="shared" si="184"/>
        <v>4560868</v>
      </c>
      <c r="AC570" s="4">
        <f t="shared" si="178"/>
        <v>3420651</v>
      </c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</row>
    <row r="571" spans="1:61" s="95" customFormat="1" ht="27.6" customHeight="1" x14ac:dyDescent="0.2">
      <c r="A571" s="9">
        <v>559</v>
      </c>
      <c r="B571" s="58" t="s">
        <v>458</v>
      </c>
      <c r="C571" s="9" t="s">
        <v>345</v>
      </c>
      <c r="D571" s="71">
        <v>99798000</v>
      </c>
      <c r="E571" s="9"/>
      <c r="F571" s="9"/>
      <c r="G571" s="62"/>
      <c r="H571" s="54">
        <v>6.5</v>
      </c>
      <c r="I571" s="94"/>
      <c r="J571" s="94"/>
      <c r="K571" s="34">
        <v>0</v>
      </c>
      <c r="L571" s="34">
        <v>99798000</v>
      </c>
      <c r="M571" s="8">
        <f t="shared" si="185"/>
        <v>99798000</v>
      </c>
      <c r="N571" s="8">
        <f t="shared" si="186"/>
        <v>79838400</v>
      </c>
      <c r="O571" s="34"/>
      <c r="P571" s="34"/>
      <c r="Q571" s="34">
        <v>0</v>
      </c>
      <c r="R571" s="34">
        <v>0</v>
      </c>
      <c r="S571" s="34">
        <f t="shared" si="179"/>
        <v>59878800</v>
      </c>
      <c r="T571" s="4">
        <f t="shared" si="187"/>
        <v>19959600</v>
      </c>
      <c r="U571" s="4">
        <f t="shared" si="188"/>
        <v>19959600</v>
      </c>
      <c r="V571" s="34"/>
      <c r="W571" s="34"/>
      <c r="X571" s="34">
        <v>124406</v>
      </c>
      <c r="Y571" s="34">
        <v>6486870</v>
      </c>
      <c r="Z571" s="34">
        <f t="shared" si="182"/>
        <v>19959600</v>
      </c>
      <c r="AA571" s="4">
        <f t="shared" si="189"/>
        <v>6486870</v>
      </c>
      <c r="AB571" s="8">
        <f t="shared" si="184"/>
        <v>5189496</v>
      </c>
      <c r="AC571" s="4">
        <f t="shared" si="178"/>
        <v>3892122</v>
      </c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</row>
    <row r="572" spans="1:61" s="95" customFormat="1" ht="27.6" customHeight="1" x14ac:dyDescent="0.2">
      <c r="A572" s="9">
        <v>560</v>
      </c>
      <c r="B572" s="58" t="s">
        <v>460</v>
      </c>
      <c r="C572" s="9" t="s">
        <v>345</v>
      </c>
      <c r="D572" s="71">
        <v>66577000</v>
      </c>
      <c r="E572" s="9"/>
      <c r="F572" s="9"/>
      <c r="G572" s="62"/>
      <c r="H572" s="54">
        <v>6.5</v>
      </c>
      <c r="I572" s="94"/>
      <c r="J572" s="94"/>
      <c r="K572" s="34">
        <v>0</v>
      </c>
      <c r="L572" s="34">
        <v>66577000</v>
      </c>
      <c r="M572" s="8">
        <f t="shared" si="185"/>
        <v>66577000</v>
      </c>
      <c r="N572" s="8">
        <f t="shared" si="186"/>
        <v>53261600</v>
      </c>
      <c r="O572" s="34"/>
      <c r="P572" s="34"/>
      <c r="Q572" s="34">
        <v>0</v>
      </c>
      <c r="R572" s="34">
        <v>0</v>
      </c>
      <c r="S572" s="34">
        <f t="shared" si="179"/>
        <v>39946200</v>
      </c>
      <c r="T572" s="4">
        <f t="shared" si="187"/>
        <v>13315400</v>
      </c>
      <c r="U572" s="4">
        <f t="shared" si="188"/>
        <v>13315400</v>
      </c>
      <c r="V572" s="34"/>
      <c r="W572" s="34"/>
      <c r="X572" s="34">
        <v>35569</v>
      </c>
      <c r="Y572" s="34">
        <v>4327505</v>
      </c>
      <c r="Z572" s="34">
        <f t="shared" si="182"/>
        <v>13315400</v>
      </c>
      <c r="AA572" s="4">
        <f t="shared" si="189"/>
        <v>4327505</v>
      </c>
      <c r="AB572" s="8">
        <f t="shared" si="184"/>
        <v>3462004</v>
      </c>
      <c r="AC572" s="4">
        <f t="shared" si="178"/>
        <v>2596503</v>
      </c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</row>
    <row r="573" spans="1:61" s="95" customFormat="1" ht="27.6" customHeight="1" x14ac:dyDescent="0.2">
      <c r="A573" s="9">
        <v>561</v>
      </c>
      <c r="B573" s="58" t="s">
        <v>461</v>
      </c>
      <c r="C573" s="9" t="s">
        <v>345</v>
      </c>
      <c r="D573" s="71">
        <v>188987000</v>
      </c>
      <c r="E573" s="9"/>
      <c r="F573" s="9"/>
      <c r="G573" s="62"/>
      <c r="H573" s="54">
        <v>6.5</v>
      </c>
      <c r="I573" s="94"/>
      <c r="J573" s="94"/>
      <c r="K573" s="34">
        <v>0</v>
      </c>
      <c r="L573" s="34">
        <v>188987000</v>
      </c>
      <c r="M573" s="8">
        <f t="shared" si="185"/>
        <v>188987000</v>
      </c>
      <c r="N573" s="8">
        <f t="shared" si="186"/>
        <v>151189600</v>
      </c>
      <c r="O573" s="34"/>
      <c r="P573" s="34"/>
      <c r="Q573" s="34">
        <v>0</v>
      </c>
      <c r="R573" s="34">
        <v>0</v>
      </c>
      <c r="S573" s="34">
        <f t="shared" si="179"/>
        <v>113392200</v>
      </c>
      <c r="T573" s="4">
        <f t="shared" si="187"/>
        <v>37797400</v>
      </c>
      <c r="U573" s="4">
        <f t="shared" si="188"/>
        <v>37797400</v>
      </c>
      <c r="V573" s="34"/>
      <c r="W573" s="34"/>
      <c r="X573" s="34">
        <v>67310</v>
      </c>
      <c r="Y573" s="34">
        <v>12284155</v>
      </c>
      <c r="Z573" s="34">
        <f t="shared" si="182"/>
        <v>37797400</v>
      </c>
      <c r="AA573" s="4">
        <f t="shared" si="189"/>
        <v>12284155</v>
      </c>
      <c r="AB573" s="8">
        <f t="shared" si="184"/>
        <v>9827324</v>
      </c>
      <c r="AC573" s="4">
        <f t="shared" si="178"/>
        <v>7370493</v>
      </c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</row>
    <row r="574" spans="1:61" s="95" customFormat="1" ht="27.6" customHeight="1" x14ac:dyDescent="0.2">
      <c r="A574" s="9">
        <v>562</v>
      </c>
      <c r="B574" s="58" t="s">
        <v>462</v>
      </c>
      <c r="C574" s="9" t="s">
        <v>345</v>
      </c>
      <c r="D574" s="71">
        <v>127308000</v>
      </c>
      <c r="E574" s="9"/>
      <c r="F574" s="9"/>
      <c r="G574" s="62"/>
      <c r="H574" s="54">
        <v>6.5</v>
      </c>
      <c r="I574" s="94"/>
      <c r="J574" s="94"/>
      <c r="K574" s="34">
        <v>0</v>
      </c>
      <c r="L574" s="34">
        <v>127308000</v>
      </c>
      <c r="M574" s="8">
        <f t="shared" si="185"/>
        <v>127308000</v>
      </c>
      <c r="N574" s="8">
        <f t="shared" si="186"/>
        <v>101846400</v>
      </c>
      <c r="O574" s="34"/>
      <c r="P574" s="34"/>
      <c r="Q574" s="34">
        <v>0</v>
      </c>
      <c r="R574" s="34">
        <v>0</v>
      </c>
      <c r="S574" s="34">
        <f t="shared" si="179"/>
        <v>76384800</v>
      </c>
      <c r="T574" s="4">
        <f t="shared" si="187"/>
        <v>25461600</v>
      </c>
      <c r="U574" s="4">
        <f>M574/5</f>
        <v>25461600</v>
      </c>
      <c r="V574" s="34"/>
      <c r="W574" s="34"/>
      <c r="X574" s="34">
        <v>22671</v>
      </c>
      <c r="Y574" s="34">
        <v>8275020</v>
      </c>
      <c r="Z574" s="34">
        <f t="shared" si="182"/>
        <v>25461600</v>
      </c>
      <c r="AA574" s="4">
        <f t="shared" si="189"/>
        <v>8275020</v>
      </c>
      <c r="AB574" s="8">
        <f t="shared" si="184"/>
        <v>6620016</v>
      </c>
      <c r="AC574" s="4">
        <f t="shared" si="178"/>
        <v>4965012</v>
      </c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</row>
    <row r="575" spans="1:61" s="95" customFormat="1" ht="27.6" customHeight="1" x14ac:dyDescent="0.2">
      <c r="A575" s="9">
        <v>563</v>
      </c>
      <c r="B575" s="58" t="s">
        <v>471</v>
      </c>
      <c r="C575" s="9" t="s">
        <v>345</v>
      </c>
      <c r="D575" s="71">
        <v>66330000</v>
      </c>
      <c r="E575" s="9"/>
      <c r="F575" s="9"/>
      <c r="G575" s="62"/>
      <c r="H575" s="54">
        <v>6.5</v>
      </c>
      <c r="I575" s="94"/>
      <c r="J575" s="94"/>
      <c r="K575" s="34"/>
      <c r="L575" s="34">
        <v>0</v>
      </c>
      <c r="M575" s="8">
        <v>66330000</v>
      </c>
      <c r="N575" s="8">
        <f t="shared" si="186"/>
        <v>66330000</v>
      </c>
      <c r="O575" s="34"/>
      <c r="P575" s="34"/>
      <c r="Q575" s="34"/>
      <c r="R575" s="34">
        <v>0</v>
      </c>
      <c r="S575" s="34">
        <f t="shared" si="179"/>
        <v>53064000</v>
      </c>
      <c r="T575" s="4">
        <v>0</v>
      </c>
      <c r="U575" s="4">
        <f>D575/5</f>
        <v>13266000</v>
      </c>
      <c r="V575" s="34"/>
      <c r="W575" s="34"/>
      <c r="X575" s="34"/>
      <c r="Y575" s="34">
        <v>2527809</v>
      </c>
      <c r="Z575" s="34">
        <f t="shared" si="182"/>
        <v>13266000</v>
      </c>
      <c r="AA575" s="4">
        <v>4311450</v>
      </c>
      <c r="AB575" s="8">
        <f t="shared" si="184"/>
        <v>4311450</v>
      </c>
      <c r="AC575" s="4">
        <f t="shared" si="178"/>
        <v>3449160</v>
      </c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</row>
    <row r="576" spans="1:61" s="95" customFormat="1" ht="27.6" customHeight="1" x14ac:dyDescent="0.2">
      <c r="A576" s="9">
        <v>564</v>
      </c>
      <c r="B576" s="58" t="s">
        <v>471</v>
      </c>
      <c r="C576" s="9" t="s">
        <v>345</v>
      </c>
      <c r="D576" s="71">
        <v>102192000</v>
      </c>
      <c r="E576" s="9"/>
      <c r="F576" s="9"/>
      <c r="G576" s="62"/>
      <c r="H576" s="54">
        <v>6.5</v>
      </c>
      <c r="I576" s="94"/>
      <c r="J576" s="94"/>
      <c r="K576" s="34"/>
      <c r="L576" s="34">
        <v>0</v>
      </c>
      <c r="M576" s="8">
        <v>102192000</v>
      </c>
      <c r="N576" s="8">
        <f t="shared" si="186"/>
        <v>102192000</v>
      </c>
      <c r="O576" s="34"/>
      <c r="P576" s="34"/>
      <c r="Q576" s="34"/>
      <c r="R576" s="34">
        <v>0</v>
      </c>
      <c r="S576" s="34">
        <f t="shared" si="179"/>
        <v>81753600</v>
      </c>
      <c r="T576" s="4">
        <v>0</v>
      </c>
      <c r="U576" s="4">
        <f t="shared" ref="U576:U599" si="190">D576/5</f>
        <v>20438400</v>
      </c>
      <c r="V576" s="34"/>
      <c r="W576" s="34"/>
      <c r="X576" s="34"/>
      <c r="Y576" s="34">
        <v>3894495</v>
      </c>
      <c r="Z576" s="34">
        <f t="shared" si="182"/>
        <v>20438400</v>
      </c>
      <c r="AA576" s="4">
        <v>6642480</v>
      </c>
      <c r="AB576" s="8">
        <f t="shared" si="184"/>
        <v>6642480</v>
      </c>
      <c r="AC576" s="4">
        <f t="shared" si="178"/>
        <v>5313984</v>
      </c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</row>
    <row r="577" spans="1:61" s="95" customFormat="1" ht="27.6" customHeight="1" x14ac:dyDescent="0.2">
      <c r="A577" s="9">
        <v>565</v>
      </c>
      <c r="B577" s="58" t="s">
        <v>476</v>
      </c>
      <c r="C577" s="9" t="s">
        <v>345</v>
      </c>
      <c r="D577" s="71">
        <v>67505000</v>
      </c>
      <c r="E577" s="9"/>
      <c r="F577" s="9"/>
      <c r="G577" s="62"/>
      <c r="H577" s="54">
        <v>6.5</v>
      </c>
      <c r="I577" s="94"/>
      <c r="J577" s="94"/>
      <c r="K577" s="34"/>
      <c r="L577" s="34">
        <v>0</v>
      </c>
      <c r="M577" s="8">
        <v>67505000</v>
      </c>
      <c r="N577" s="8">
        <f t="shared" si="186"/>
        <v>67505000</v>
      </c>
      <c r="O577" s="34"/>
      <c r="P577" s="34"/>
      <c r="Q577" s="34"/>
      <c r="R577" s="34">
        <v>0</v>
      </c>
      <c r="S577" s="34">
        <f t="shared" si="179"/>
        <v>54004000</v>
      </c>
      <c r="T577" s="4">
        <v>0</v>
      </c>
      <c r="U577" s="4">
        <f t="shared" si="190"/>
        <v>13501000</v>
      </c>
      <c r="V577" s="34"/>
      <c r="W577" s="34"/>
      <c r="X577" s="34"/>
      <c r="Y577" s="34">
        <v>1791194</v>
      </c>
      <c r="Z577" s="34">
        <f t="shared" si="182"/>
        <v>13501000</v>
      </c>
      <c r="AA577" s="4">
        <v>4387825</v>
      </c>
      <c r="AB577" s="8">
        <f t="shared" si="184"/>
        <v>4387825</v>
      </c>
      <c r="AC577" s="4">
        <f t="shared" si="178"/>
        <v>3510260</v>
      </c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</row>
    <row r="578" spans="1:61" s="95" customFormat="1" ht="27.6" customHeight="1" x14ac:dyDescent="0.2">
      <c r="A578" s="9">
        <v>566</v>
      </c>
      <c r="B578" s="58" t="s">
        <v>479</v>
      </c>
      <c r="C578" s="9" t="s">
        <v>345</v>
      </c>
      <c r="D578" s="71">
        <v>37105000</v>
      </c>
      <c r="E578" s="9"/>
      <c r="F578" s="9"/>
      <c r="G578" s="62"/>
      <c r="H578" s="54">
        <v>6.5</v>
      </c>
      <c r="I578" s="94"/>
      <c r="J578" s="94"/>
      <c r="K578" s="34"/>
      <c r="L578" s="34">
        <v>0</v>
      </c>
      <c r="M578" s="8">
        <v>37105000</v>
      </c>
      <c r="N578" s="8">
        <f t="shared" si="186"/>
        <v>37105000</v>
      </c>
      <c r="O578" s="34"/>
      <c r="P578" s="34"/>
      <c r="Q578" s="34"/>
      <c r="R578" s="34">
        <v>0</v>
      </c>
      <c r="S578" s="34">
        <f t="shared" si="179"/>
        <v>29684000</v>
      </c>
      <c r="T578" s="4">
        <v>0</v>
      </c>
      <c r="U578" s="4">
        <f t="shared" si="190"/>
        <v>7421000</v>
      </c>
      <c r="V578" s="34"/>
      <c r="W578" s="34"/>
      <c r="X578" s="34"/>
      <c r="Y578" s="34">
        <v>845791</v>
      </c>
      <c r="Z578" s="34">
        <f t="shared" si="182"/>
        <v>7421000</v>
      </c>
      <c r="AA578" s="4">
        <v>2411825</v>
      </c>
      <c r="AB578" s="8">
        <f t="shared" si="184"/>
        <v>2411825</v>
      </c>
      <c r="AC578" s="4">
        <f t="shared" si="178"/>
        <v>1929460</v>
      </c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</row>
    <row r="579" spans="1:61" s="95" customFormat="1" ht="27.6" customHeight="1" x14ac:dyDescent="0.2">
      <c r="A579" s="9">
        <v>567</v>
      </c>
      <c r="B579" s="58" t="s">
        <v>483</v>
      </c>
      <c r="C579" s="9" t="s">
        <v>345</v>
      </c>
      <c r="D579" s="71">
        <v>37853000</v>
      </c>
      <c r="E579" s="9"/>
      <c r="F579" s="9"/>
      <c r="G579" s="62"/>
      <c r="H579" s="54">
        <v>6.5</v>
      </c>
      <c r="I579" s="94"/>
      <c r="J579" s="94"/>
      <c r="K579" s="34"/>
      <c r="L579" s="34">
        <v>0</v>
      </c>
      <c r="M579" s="8">
        <v>37853000</v>
      </c>
      <c r="N579" s="8">
        <f t="shared" si="186"/>
        <v>37853000</v>
      </c>
      <c r="O579" s="34"/>
      <c r="P579" s="34"/>
      <c r="Q579" s="34"/>
      <c r="R579" s="34">
        <v>0</v>
      </c>
      <c r="S579" s="34">
        <f t="shared" si="179"/>
        <v>30282400</v>
      </c>
      <c r="T579" s="4">
        <v>0</v>
      </c>
      <c r="U579" s="4">
        <f t="shared" si="190"/>
        <v>7570600</v>
      </c>
      <c r="V579" s="34"/>
      <c r="W579" s="34"/>
      <c r="X579" s="34"/>
      <c r="Y579" s="34">
        <v>781950</v>
      </c>
      <c r="Z579" s="34">
        <f t="shared" si="182"/>
        <v>7570600</v>
      </c>
      <c r="AA579" s="4">
        <v>2460445</v>
      </c>
      <c r="AB579" s="8">
        <f t="shared" si="184"/>
        <v>2460445</v>
      </c>
      <c r="AC579" s="4">
        <f t="shared" si="178"/>
        <v>1968356</v>
      </c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</row>
    <row r="580" spans="1:61" s="95" customFormat="1" ht="27.6" customHeight="1" x14ac:dyDescent="0.2">
      <c r="A580" s="9">
        <v>568</v>
      </c>
      <c r="B580" s="58" t="s">
        <v>431</v>
      </c>
      <c r="C580" s="9" t="s">
        <v>345</v>
      </c>
      <c r="D580" s="71">
        <v>60749000</v>
      </c>
      <c r="E580" s="9"/>
      <c r="F580" s="9"/>
      <c r="G580" s="62"/>
      <c r="H580" s="54">
        <v>6.5</v>
      </c>
      <c r="I580" s="94"/>
      <c r="J580" s="94"/>
      <c r="K580" s="34"/>
      <c r="L580" s="34">
        <v>0</v>
      </c>
      <c r="M580" s="8">
        <v>60749000</v>
      </c>
      <c r="N580" s="8">
        <f t="shared" si="186"/>
        <v>60749000</v>
      </c>
      <c r="O580" s="34"/>
      <c r="P580" s="34"/>
      <c r="Q580" s="34"/>
      <c r="R580" s="34">
        <v>0</v>
      </c>
      <c r="S580" s="34">
        <f t="shared" si="179"/>
        <v>48599200</v>
      </c>
      <c r="T580" s="4">
        <v>0</v>
      </c>
      <c r="U580" s="4">
        <f t="shared" si="190"/>
        <v>12149800</v>
      </c>
      <c r="V580" s="34"/>
      <c r="W580" s="34"/>
      <c r="X580" s="34"/>
      <c r="Y580" s="34">
        <v>1081832</v>
      </c>
      <c r="Z580" s="34">
        <f t="shared" si="182"/>
        <v>12149800</v>
      </c>
      <c r="AA580" s="4">
        <v>3948685</v>
      </c>
      <c r="AB580" s="8">
        <f t="shared" si="184"/>
        <v>3948685</v>
      </c>
      <c r="AC580" s="4">
        <f t="shared" si="178"/>
        <v>3158948</v>
      </c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</row>
    <row r="581" spans="1:61" s="95" customFormat="1" ht="27.6" customHeight="1" x14ac:dyDescent="0.2">
      <c r="A581" s="9">
        <v>569</v>
      </c>
      <c r="B581" s="58" t="s">
        <v>486</v>
      </c>
      <c r="C581" s="9" t="s">
        <v>345</v>
      </c>
      <c r="D581" s="71">
        <v>122147000</v>
      </c>
      <c r="E581" s="9"/>
      <c r="F581" s="9"/>
      <c r="G581" s="62"/>
      <c r="H581" s="54">
        <v>6.5</v>
      </c>
      <c r="I581" s="94"/>
      <c r="J581" s="94"/>
      <c r="K581" s="34"/>
      <c r="L581" s="34">
        <v>0</v>
      </c>
      <c r="M581" s="8">
        <v>122147000</v>
      </c>
      <c r="N581" s="8">
        <f t="shared" si="186"/>
        <v>122147000</v>
      </c>
      <c r="O581" s="34"/>
      <c r="P581" s="34"/>
      <c r="Q581" s="34"/>
      <c r="R581" s="34">
        <v>0</v>
      </c>
      <c r="S581" s="34">
        <f t="shared" si="179"/>
        <v>97717600</v>
      </c>
      <c r="T581" s="4">
        <v>0</v>
      </c>
      <c r="U581" s="4">
        <f t="shared" si="190"/>
        <v>24429400</v>
      </c>
      <c r="V581" s="34"/>
      <c r="W581" s="34"/>
      <c r="X581" s="34"/>
      <c r="Y581" s="34">
        <v>2066460</v>
      </c>
      <c r="Z581" s="34">
        <f t="shared" si="182"/>
        <v>24429400</v>
      </c>
      <c r="AA581" s="4">
        <v>7939555</v>
      </c>
      <c r="AB581" s="8">
        <f t="shared" si="184"/>
        <v>7939555</v>
      </c>
      <c r="AC581" s="4">
        <f t="shared" si="178"/>
        <v>6351644</v>
      </c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</row>
    <row r="582" spans="1:61" s="95" customFormat="1" ht="27.6" customHeight="1" x14ac:dyDescent="0.2">
      <c r="A582" s="9">
        <v>570</v>
      </c>
      <c r="B582" s="58" t="s">
        <v>487</v>
      </c>
      <c r="C582" s="9" t="s">
        <v>345</v>
      </c>
      <c r="D582" s="71">
        <v>118091000</v>
      </c>
      <c r="E582" s="9"/>
      <c r="F582" s="9"/>
      <c r="G582" s="62"/>
      <c r="H582" s="54">
        <v>6.5</v>
      </c>
      <c r="I582" s="94"/>
      <c r="J582" s="94"/>
      <c r="K582" s="34"/>
      <c r="L582" s="34">
        <v>0</v>
      </c>
      <c r="M582" s="8">
        <v>118091000</v>
      </c>
      <c r="N582" s="8">
        <f t="shared" si="186"/>
        <v>118091000</v>
      </c>
      <c r="O582" s="34"/>
      <c r="P582" s="34"/>
      <c r="Q582" s="34"/>
      <c r="R582" s="34">
        <v>0</v>
      </c>
      <c r="S582" s="34">
        <f t="shared" si="179"/>
        <v>94472800</v>
      </c>
      <c r="T582" s="4">
        <v>0</v>
      </c>
      <c r="U582" s="4">
        <f t="shared" si="190"/>
        <v>23618200</v>
      </c>
      <c r="V582" s="34"/>
      <c r="W582" s="34"/>
      <c r="X582" s="34"/>
      <c r="Y582" s="34">
        <v>1955781</v>
      </c>
      <c r="Z582" s="34">
        <f t="shared" si="182"/>
        <v>23618200</v>
      </c>
      <c r="AA582" s="4">
        <v>7675915</v>
      </c>
      <c r="AB582" s="8">
        <f t="shared" si="184"/>
        <v>7675915</v>
      </c>
      <c r="AC582" s="4">
        <f t="shared" si="178"/>
        <v>6140732</v>
      </c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</row>
    <row r="583" spans="1:61" s="95" customFormat="1" ht="27.6" customHeight="1" x14ac:dyDescent="0.2">
      <c r="A583" s="9">
        <v>571</v>
      </c>
      <c r="B583" s="58" t="s">
        <v>490</v>
      </c>
      <c r="C583" s="9" t="s">
        <v>345</v>
      </c>
      <c r="D583" s="71">
        <v>21584000</v>
      </c>
      <c r="E583" s="9"/>
      <c r="F583" s="9"/>
      <c r="G583" s="62"/>
      <c r="H583" s="54">
        <v>6.5</v>
      </c>
      <c r="I583" s="94"/>
      <c r="J583" s="94"/>
      <c r="K583" s="34"/>
      <c r="L583" s="34">
        <v>0</v>
      </c>
      <c r="M583" s="8">
        <v>21584000</v>
      </c>
      <c r="N583" s="8">
        <f t="shared" si="186"/>
        <v>21584000</v>
      </c>
      <c r="O583" s="34"/>
      <c r="P583" s="34"/>
      <c r="Q583" s="34"/>
      <c r="R583" s="34">
        <v>0</v>
      </c>
      <c r="S583" s="34">
        <f t="shared" si="179"/>
        <v>17267200</v>
      </c>
      <c r="T583" s="4">
        <v>0</v>
      </c>
      <c r="U583" s="4">
        <f t="shared" si="190"/>
        <v>4316800</v>
      </c>
      <c r="V583" s="34"/>
      <c r="W583" s="34"/>
      <c r="X583" s="34"/>
      <c r="Y583" s="34">
        <v>307498</v>
      </c>
      <c r="Z583" s="34">
        <f t="shared" si="182"/>
        <v>4316800</v>
      </c>
      <c r="AA583" s="4">
        <v>1402960</v>
      </c>
      <c r="AB583" s="8">
        <f t="shared" si="184"/>
        <v>1402960</v>
      </c>
      <c r="AC583" s="4">
        <f t="shared" si="178"/>
        <v>1122368</v>
      </c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</row>
    <row r="584" spans="1:61" s="95" customFormat="1" ht="27.6" customHeight="1" x14ac:dyDescent="0.2">
      <c r="A584" s="9">
        <v>572</v>
      </c>
      <c r="B584" s="58" t="s">
        <v>493</v>
      </c>
      <c r="C584" s="9" t="s">
        <v>345</v>
      </c>
      <c r="D584" s="71">
        <v>31741000</v>
      </c>
      <c r="E584" s="9"/>
      <c r="F584" s="9"/>
      <c r="G584" s="62"/>
      <c r="H584" s="54">
        <v>6.5</v>
      </c>
      <c r="I584" s="94"/>
      <c r="J584" s="94"/>
      <c r="K584" s="34"/>
      <c r="L584" s="34">
        <v>0</v>
      </c>
      <c r="M584" s="8">
        <v>31741000</v>
      </c>
      <c r="N584" s="8">
        <f t="shared" si="186"/>
        <v>31741000</v>
      </c>
      <c r="O584" s="34"/>
      <c r="P584" s="34"/>
      <c r="Q584" s="34"/>
      <c r="R584" s="34">
        <v>0</v>
      </c>
      <c r="S584" s="34">
        <f t="shared" si="179"/>
        <v>25392800</v>
      </c>
      <c r="T584" s="4">
        <v>0</v>
      </c>
      <c r="U584" s="4">
        <f t="shared" si="190"/>
        <v>6348200</v>
      </c>
      <c r="V584" s="34"/>
      <c r="W584" s="34"/>
      <c r="X584" s="34"/>
      <c r="Y584" s="34">
        <v>350455</v>
      </c>
      <c r="Z584" s="34">
        <f t="shared" si="182"/>
        <v>6348200</v>
      </c>
      <c r="AA584" s="4">
        <v>2063165</v>
      </c>
      <c r="AB584" s="8">
        <f t="shared" si="184"/>
        <v>2063165</v>
      </c>
      <c r="AC584" s="4">
        <f t="shared" si="178"/>
        <v>1650532</v>
      </c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</row>
    <row r="585" spans="1:61" s="95" customFormat="1" ht="27.6" customHeight="1" x14ac:dyDescent="0.2">
      <c r="A585" s="9">
        <v>573</v>
      </c>
      <c r="B585" s="58" t="s">
        <v>543</v>
      </c>
      <c r="C585" s="9" t="s">
        <v>345</v>
      </c>
      <c r="D585" s="71">
        <v>38523000</v>
      </c>
      <c r="E585" s="9"/>
      <c r="F585" s="9"/>
      <c r="G585" s="62"/>
      <c r="H585" s="54">
        <v>6.5</v>
      </c>
      <c r="I585" s="94"/>
      <c r="J585" s="94"/>
      <c r="K585" s="34"/>
      <c r="L585" s="34">
        <v>0</v>
      </c>
      <c r="M585" s="8">
        <v>38523000</v>
      </c>
      <c r="N585" s="8">
        <f t="shared" si="186"/>
        <v>38523000</v>
      </c>
      <c r="O585" s="34"/>
      <c r="P585" s="34"/>
      <c r="Q585" s="34"/>
      <c r="R585" s="34">
        <v>0</v>
      </c>
      <c r="S585" s="34">
        <f t="shared" si="179"/>
        <v>30818400</v>
      </c>
      <c r="T585" s="4">
        <v>0</v>
      </c>
      <c r="U585" s="4">
        <f t="shared" si="190"/>
        <v>7704600</v>
      </c>
      <c r="V585" s="34"/>
      <c r="W585" s="34"/>
      <c r="X585" s="34"/>
      <c r="Y585" s="34">
        <v>267550</v>
      </c>
      <c r="Z585" s="34">
        <f t="shared" si="182"/>
        <v>7704600</v>
      </c>
      <c r="AA585" s="4">
        <v>2503995</v>
      </c>
      <c r="AB585" s="8">
        <f t="shared" si="184"/>
        <v>2503995</v>
      </c>
      <c r="AC585" s="4">
        <f t="shared" si="178"/>
        <v>2003196</v>
      </c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</row>
    <row r="586" spans="1:61" s="95" customFormat="1" ht="27.6" customHeight="1" x14ac:dyDescent="0.2">
      <c r="A586" s="9">
        <v>574</v>
      </c>
      <c r="B586" s="58" t="s">
        <v>543</v>
      </c>
      <c r="C586" s="9" t="s">
        <v>345</v>
      </c>
      <c r="D586" s="71">
        <v>31743000</v>
      </c>
      <c r="E586" s="9"/>
      <c r="F586" s="9"/>
      <c r="G586" s="62"/>
      <c r="H586" s="54">
        <v>6.5</v>
      </c>
      <c r="I586" s="94"/>
      <c r="J586" s="94"/>
      <c r="K586" s="34"/>
      <c r="L586" s="34">
        <v>0</v>
      </c>
      <c r="M586" s="8">
        <v>31743000</v>
      </c>
      <c r="N586" s="8">
        <f t="shared" si="186"/>
        <v>31743000</v>
      </c>
      <c r="O586" s="34"/>
      <c r="P586" s="34"/>
      <c r="Q586" s="34"/>
      <c r="R586" s="34">
        <v>0</v>
      </c>
      <c r="S586" s="34">
        <f t="shared" si="179"/>
        <v>25394400</v>
      </c>
      <c r="T586" s="4">
        <v>0</v>
      </c>
      <c r="U586" s="4">
        <f t="shared" si="190"/>
        <v>6348600</v>
      </c>
      <c r="V586" s="34"/>
      <c r="W586" s="34"/>
      <c r="X586" s="34"/>
      <c r="Y586" s="34">
        <v>220462</v>
      </c>
      <c r="Z586" s="34">
        <f t="shared" si="182"/>
        <v>6348600</v>
      </c>
      <c r="AA586" s="4">
        <v>2063295</v>
      </c>
      <c r="AB586" s="8">
        <f t="shared" si="184"/>
        <v>2063295</v>
      </c>
      <c r="AC586" s="4">
        <f t="shared" si="178"/>
        <v>1650636</v>
      </c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</row>
    <row r="587" spans="1:61" s="95" customFormat="1" ht="27.6" customHeight="1" x14ac:dyDescent="0.2">
      <c r="A587" s="9">
        <v>575</v>
      </c>
      <c r="B587" s="58" t="s">
        <v>544</v>
      </c>
      <c r="C587" s="9" t="s">
        <v>345</v>
      </c>
      <c r="D587" s="71">
        <v>84181000</v>
      </c>
      <c r="E587" s="9"/>
      <c r="F587" s="9"/>
      <c r="G587" s="62"/>
      <c r="H587" s="54">
        <v>6.5</v>
      </c>
      <c r="I587" s="94"/>
      <c r="J587" s="94"/>
      <c r="K587" s="34"/>
      <c r="L587" s="34">
        <v>0</v>
      </c>
      <c r="M587" s="8">
        <v>84181000</v>
      </c>
      <c r="N587" s="8">
        <f t="shared" si="186"/>
        <v>84181000</v>
      </c>
      <c r="O587" s="34"/>
      <c r="P587" s="34"/>
      <c r="Q587" s="34"/>
      <c r="R587" s="34">
        <v>0</v>
      </c>
      <c r="S587" s="34">
        <f t="shared" si="179"/>
        <v>67344800</v>
      </c>
      <c r="T587" s="4">
        <v>0</v>
      </c>
      <c r="U587" s="4">
        <f t="shared" si="190"/>
        <v>16836200</v>
      </c>
      <c r="V587" s="34"/>
      <c r="W587" s="34"/>
      <c r="X587" s="34"/>
      <c r="Y587" s="34">
        <v>569663</v>
      </c>
      <c r="Z587" s="34">
        <f t="shared" si="182"/>
        <v>16836200</v>
      </c>
      <c r="AA587" s="4">
        <v>5471765</v>
      </c>
      <c r="AB587" s="8">
        <f t="shared" si="184"/>
        <v>5471765</v>
      </c>
      <c r="AC587" s="4">
        <f t="shared" si="178"/>
        <v>4377412</v>
      </c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</row>
    <row r="588" spans="1:61" s="95" customFormat="1" ht="27.6" customHeight="1" x14ac:dyDescent="0.2">
      <c r="A588" s="9">
        <v>576</v>
      </c>
      <c r="B588" s="58" t="s">
        <v>545</v>
      </c>
      <c r="C588" s="9" t="s">
        <v>345</v>
      </c>
      <c r="D588" s="71">
        <v>132338000</v>
      </c>
      <c r="E588" s="9"/>
      <c r="F588" s="9"/>
      <c r="G588" s="62"/>
      <c r="H588" s="54">
        <v>6.5</v>
      </c>
      <c r="I588" s="94"/>
      <c r="J588" s="94"/>
      <c r="K588" s="34"/>
      <c r="L588" s="34">
        <v>0</v>
      </c>
      <c r="M588" s="8">
        <v>132338000</v>
      </c>
      <c r="N588" s="8">
        <f t="shared" si="186"/>
        <v>132338000</v>
      </c>
      <c r="O588" s="34"/>
      <c r="P588" s="34"/>
      <c r="Q588" s="34"/>
      <c r="R588" s="34">
        <v>0</v>
      </c>
      <c r="S588" s="34">
        <f t="shared" si="179"/>
        <v>105870400</v>
      </c>
      <c r="T588" s="4">
        <v>0</v>
      </c>
      <c r="U588" s="4">
        <f t="shared" si="190"/>
        <v>26467600</v>
      </c>
      <c r="V588" s="34"/>
      <c r="W588" s="34"/>
      <c r="X588" s="34"/>
      <c r="Y588" s="34">
        <v>777712</v>
      </c>
      <c r="Z588" s="34">
        <f t="shared" si="182"/>
        <v>26467600</v>
      </c>
      <c r="AA588" s="4">
        <v>8601970</v>
      </c>
      <c r="AB588" s="8">
        <f t="shared" si="184"/>
        <v>8601970</v>
      </c>
      <c r="AC588" s="4">
        <f t="shared" si="178"/>
        <v>6881576</v>
      </c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</row>
    <row r="589" spans="1:61" s="95" customFormat="1" ht="27.6" customHeight="1" x14ac:dyDescent="0.2">
      <c r="A589" s="9">
        <v>577</v>
      </c>
      <c r="B589" s="58" t="s">
        <v>545</v>
      </c>
      <c r="C589" s="9" t="s">
        <v>345</v>
      </c>
      <c r="D589" s="71">
        <v>14532000</v>
      </c>
      <c r="E589" s="9"/>
      <c r="F589" s="9"/>
      <c r="G589" s="62"/>
      <c r="H589" s="54">
        <v>6.5</v>
      </c>
      <c r="I589" s="94"/>
      <c r="J589" s="94"/>
      <c r="K589" s="34"/>
      <c r="L589" s="34">
        <v>0</v>
      </c>
      <c r="M589" s="8">
        <v>14532000</v>
      </c>
      <c r="N589" s="8">
        <f t="shared" si="186"/>
        <v>14532000</v>
      </c>
      <c r="O589" s="34"/>
      <c r="P589" s="34"/>
      <c r="Q589" s="34"/>
      <c r="R589" s="34">
        <v>0</v>
      </c>
      <c r="S589" s="34">
        <f t="shared" si="179"/>
        <v>11625600</v>
      </c>
      <c r="T589" s="4">
        <v>0</v>
      </c>
      <c r="U589" s="4">
        <f t="shared" si="190"/>
        <v>2906400</v>
      </c>
      <c r="V589" s="34"/>
      <c r="W589" s="34"/>
      <c r="X589" s="34"/>
      <c r="Y589" s="34">
        <v>85400</v>
      </c>
      <c r="Z589" s="34">
        <f t="shared" si="182"/>
        <v>2906400</v>
      </c>
      <c r="AA589" s="4">
        <v>944580</v>
      </c>
      <c r="AB589" s="8">
        <f t="shared" si="184"/>
        <v>944580</v>
      </c>
      <c r="AC589" s="4">
        <f t="shared" si="178"/>
        <v>755664</v>
      </c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</row>
    <row r="590" spans="1:61" s="95" customFormat="1" ht="27.6" customHeight="1" x14ac:dyDescent="0.2">
      <c r="A590" s="9">
        <v>578</v>
      </c>
      <c r="B590" s="58" t="s">
        <v>497</v>
      </c>
      <c r="C590" s="9" t="s">
        <v>345</v>
      </c>
      <c r="D590" s="71">
        <v>29027000</v>
      </c>
      <c r="E590" s="9"/>
      <c r="F590" s="9"/>
      <c r="G590" s="62"/>
      <c r="H590" s="54">
        <v>6.5</v>
      </c>
      <c r="I590" s="94"/>
      <c r="J590" s="94"/>
      <c r="K590" s="34"/>
      <c r="L590" s="34">
        <v>0</v>
      </c>
      <c r="M590" s="8">
        <v>29027000</v>
      </c>
      <c r="N590" s="8">
        <f t="shared" si="186"/>
        <v>29027000</v>
      </c>
      <c r="O590" s="34"/>
      <c r="P590" s="34"/>
      <c r="Q590" s="34"/>
      <c r="R590" s="34">
        <v>0</v>
      </c>
      <c r="S590" s="34">
        <f t="shared" si="179"/>
        <v>23221600</v>
      </c>
      <c r="T590" s="4">
        <v>0</v>
      </c>
      <c r="U590" s="4">
        <f t="shared" si="190"/>
        <v>5805400</v>
      </c>
      <c r="V590" s="34"/>
      <c r="W590" s="34"/>
      <c r="X590" s="34"/>
      <c r="Y590" s="34">
        <v>129230</v>
      </c>
      <c r="Z590" s="34">
        <f t="shared" si="182"/>
        <v>5805400</v>
      </c>
      <c r="AA590" s="4">
        <v>1886755</v>
      </c>
      <c r="AB590" s="8">
        <f t="shared" si="184"/>
        <v>1886755</v>
      </c>
      <c r="AC590" s="4">
        <f t="shared" si="178"/>
        <v>1509404</v>
      </c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</row>
    <row r="591" spans="1:61" s="95" customFormat="1" ht="27.6" customHeight="1" x14ac:dyDescent="0.2">
      <c r="A591" s="9">
        <v>579</v>
      </c>
      <c r="B591" s="58" t="s">
        <v>497</v>
      </c>
      <c r="C591" s="9" t="s">
        <v>345</v>
      </c>
      <c r="D591" s="71">
        <v>27178000</v>
      </c>
      <c r="E591" s="9"/>
      <c r="F591" s="9"/>
      <c r="G591" s="62"/>
      <c r="H591" s="54">
        <v>6.5</v>
      </c>
      <c r="I591" s="94"/>
      <c r="J591" s="94"/>
      <c r="K591" s="34"/>
      <c r="L591" s="34">
        <v>0</v>
      </c>
      <c r="M591" s="8">
        <v>27178000</v>
      </c>
      <c r="N591" s="8">
        <f t="shared" si="186"/>
        <v>27178000</v>
      </c>
      <c r="O591" s="34"/>
      <c r="P591" s="34"/>
      <c r="Q591" s="34"/>
      <c r="R591" s="34">
        <v>0</v>
      </c>
      <c r="S591" s="34">
        <f t="shared" si="179"/>
        <v>21742400</v>
      </c>
      <c r="T591" s="4">
        <v>0</v>
      </c>
      <c r="U591" s="4">
        <f t="shared" si="190"/>
        <v>5435600</v>
      </c>
      <c r="V591" s="34"/>
      <c r="W591" s="34"/>
      <c r="X591" s="34"/>
      <c r="Y591" s="34">
        <v>120998</v>
      </c>
      <c r="Z591" s="34">
        <f t="shared" si="182"/>
        <v>5435600</v>
      </c>
      <c r="AA591" s="4">
        <v>1766570</v>
      </c>
      <c r="AB591" s="8">
        <f t="shared" si="184"/>
        <v>1766570</v>
      </c>
      <c r="AC591" s="4">
        <f t="shared" si="178"/>
        <v>1413256</v>
      </c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</row>
    <row r="592" spans="1:61" s="95" customFormat="1" ht="27.6" customHeight="1" x14ac:dyDescent="0.2">
      <c r="A592" s="9">
        <v>580</v>
      </c>
      <c r="B592" s="58" t="s">
        <v>547</v>
      </c>
      <c r="C592" s="9" t="s">
        <v>345</v>
      </c>
      <c r="D592" s="71">
        <v>113381000</v>
      </c>
      <c r="E592" s="9"/>
      <c r="F592" s="9"/>
      <c r="G592" s="62"/>
      <c r="H592" s="54">
        <v>6.5</v>
      </c>
      <c r="I592" s="94"/>
      <c r="J592" s="94"/>
      <c r="K592" s="34"/>
      <c r="L592" s="34">
        <v>0</v>
      </c>
      <c r="M592" s="8">
        <v>113381000</v>
      </c>
      <c r="N592" s="8">
        <f t="shared" si="186"/>
        <v>113381000</v>
      </c>
      <c r="O592" s="34"/>
      <c r="P592" s="34"/>
      <c r="Q592" s="34"/>
      <c r="R592" s="34">
        <v>0</v>
      </c>
      <c r="S592" s="34">
        <f t="shared" si="179"/>
        <v>90704800</v>
      </c>
      <c r="T592" s="4">
        <v>0</v>
      </c>
      <c r="U592" s="4">
        <f t="shared" si="190"/>
        <v>22676200</v>
      </c>
      <c r="V592" s="34"/>
      <c r="W592" s="34"/>
      <c r="X592" s="34"/>
      <c r="Y592" s="34">
        <v>302867</v>
      </c>
      <c r="Z592" s="34">
        <f t="shared" si="182"/>
        <v>22676200</v>
      </c>
      <c r="AA592" s="4">
        <v>7369765</v>
      </c>
      <c r="AB592" s="8">
        <f t="shared" si="184"/>
        <v>7369765</v>
      </c>
      <c r="AC592" s="4">
        <f t="shared" si="178"/>
        <v>5895812</v>
      </c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</row>
    <row r="593" spans="1:61" s="95" customFormat="1" ht="27.6" customHeight="1" x14ac:dyDescent="0.2">
      <c r="A593" s="9">
        <v>581</v>
      </c>
      <c r="B593" s="58" t="s">
        <v>547</v>
      </c>
      <c r="C593" s="9" t="s">
        <v>345</v>
      </c>
      <c r="D593" s="71">
        <v>9936000</v>
      </c>
      <c r="E593" s="9"/>
      <c r="F593" s="9"/>
      <c r="G593" s="62"/>
      <c r="H593" s="54">
        <v>6.5</v>
      </c>
      <c r="I593" s="94"/>
      <c r="J593" s="94"/>
      <c r="K593" s="34"/>
      <c r="L593" s="34">
        <v>0</v>
      </c>
      <c r="M593" s="8">
        <v>9936000</v>
      </c>
      <c r="N593" s="8">
        <f t="shared" si="186"/>
        <v>9936000</v>
      </c>
      <c r="O593" s="34"/>
      <c r="P593" s="34"/>
      <c r="Q593" s="34"/>
      <c r="R593" s="34">
        <v>0</v>
      </c>
      <c r="S593" s="34">
        <f t="shared" si="179"/>
        <v>7948800</v>
      </c>
      <c r="T593" s="4">
        <v>0</v>
      </c>
      <c r="U593" s="4">
        <f t="shared" si="190"/>
        <v>1987200</v>
      </c>
      <c r="V593" s="34"/>
      <c r="W593" s="34"/>
      <c r="X593" s="34"/>
      <c r="Y593" s="34">
        <v>26541</v>
      </c>
      <c r="Z593" s="34">
        <f t="shared" si="182"/>
        <v>1987200</v>
      </c>
      <c r="AA593" s="4">
        <v>645840</v>
      </c>
      <c r="AB593" s="8">
        <f t="shared" si="184"/>
        <v>645840</v>
      </c>
      <c r="AC593" s="4">
        <f t="shared" si="178"/>
        <v>516672</v>
      </c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</row>
    <row r="594" spans="1:61" s="95" customFormat="1" ht="27.6" customHeight="1" x14ac:dyDescent="0.2">
      <c r="A594" s="9">
        <v>582</v>
      </c>
      <c r="B594" s="58" t="s">
        <v>548</v>
      </c>
      <c r="C594" s="9" t="s">
        <v>345</v>
      </c>
      <c r="D594" s="71">
        <v>17850000</v>
      </c>
      <c r="E594" s="9"/>
      <c r="F594" s="9"/>
      <c r="G594" s="62"/>
      <c r="H594" s="54">
        <v>6.5</v>
      </c>
      <c r="I594" s="94"/>
      <c r="J594" s="94"/>
      <c r="K594" s="34"/>
      <c r="L594" s="34">
        <v>0</v>
      </c>
      <c r="M594" s="8">
        <v>17850000</v>
      </c>
      <c r="N594" s="8">
        <f t="shared" si="186"/>
        <v>17850000</v>
      </c>
      <c r="O594" s="34"/>
      <c r="P594" s="34"/>
      <c r="Q594" s="34"/>
      <c r="R594" s="34">
        <v>0</v>
      </c>
      <c r="S594" s="34">
        <f t="shared" si="179"/>
        <v>14280000</v>
      </c>
      <c r="T594" s="4">
        <v>0</v>
      </c>
      <c r="U594" s="4">
        <f t="shared" si="190"/>
        <v>3570000</v>
      </c>
      <c r="V594" s="34"/>
      <c r="W594" s="34"/>
      <c r="X594" s="34"/>
      <c r="Y594" s="34">
        <v>41324</v>
      </c>
      <c r="Z594" s="34">
        <f t="shared" si="182"/>
        <v>3570000</v>
      </c>
      <c r="AA594" s="4">
        <v>1160250</v>
      </c>
      <c r="AB594" s="8">
        <f t="shared" si="184"/>
        <v>1160250</v>
      </c>
      <c r="AC594" s="4">
        <f t="shared" si="178"/>
        <v>928200</v>
      </c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</row>
    <row r="595" spans="1:61" s="95" customFormat="1" ht="27.6" customHeight="1" x14ac:dyDescent="0.2">
      <c r="A595" s="9">
        <v>583</v>
      </c>
      <c r="B595" s="58" t="s">
        <v>498</v>
      </c>
      <c r="C595" s="9" t="s">
        <v>345</v>
      </c>
      <c r="D595" s="71">
        <v>23175000</v>
      </c>
      <c r="E595" s="9"/>
      <c r="F595" s="9"/>
      <c r="G595" s="62"/>
      <c r="H595" s="54">
        <v>6.5</v>
      </c>
      <c r="I595" s="94"/>
      <c r="J595" s="94"/>
      <c r="K595" s="34"/>
      <c r="L595" s="34">
        <v>0</v>
      </c>
      <c r="M595" s="8">
        <v>23175000</v>
      </c>
      <c r="N595" s="8">
        <f t="shared" si="186"/>
        <v>23175000</v>
      </c>
      <c r="O595" s="34"/>
      <c r="P595" s="34"/>
      <c r="Q595" s="34"/>
      <c r="R595" s="34">
        <v>0</v>
      </c>
      <c r="S595" s="34">
        <f t="shared" si="179"/>
        <v>18540000</v>
      </c>
      <c r="T595" s="4">
        <v>0</v>
      </c>
      <c r="U595" s="4">
        <f t="shared" si="190"/>
        <v>4635000</v>
      </c>
      <c r="V595" s="34"/>
      <c r="W595" s="34"/>
      <c r="X595" s="34"/>
      <c r="Y595" s="34">
        <v>45398</v>
      </c>
      <c r="Z595" s="34">
        <f t="shared" si="182"/>
        <v>4635000</v>
      </c>
      <c r="AA595" s="4">
        <v>1506375</v>
      </c>
      <c r="AB595" s="8">
        <f t="shared" si="184"/>
        <v>1506375</v>
      </c>
      <c r="AC595" s="4">
        <f t="shared" si="178"/>
        <v>1205100</v>
      </c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</row>
    <row r="596" spans="1:61" s="95" customFormat="1" ht="27.6" customHeight="1" x14ac:dyDescent="0.2">
      <c r="A596" s="9">
        <v>584</v>
      </c>
      <c r="B596" s="58" t="s">
        <v>498</v>
      </c>
      <c r="C596" s="9" t="s">
        <v>345</v>
      </c>
      <c r="D596" s="71">
        <v>36850000</v>
      </c>
      <c r="E596" s="9"/>
      <c r="F596" s="9"/>
      <c r="G596" s="62"/>
      <c r="H596" s="54">
        <v>6.5</v>
      </c>
      <c r="I596" s="94"/>
      <c r="J596" s="94"/>
      <c r="K596" s="34"/>
      <c r="L596" s="34">
        <v>0</v>
      </c>
      <c r="M596" s="8">
        <v>36850000</v>
      </c>
      <c r="N596" s="8">
        <f t="shared" si="186"/>
        <v>36850000</v>
      </c>
      <c r="O596" s="34"/>
      <c r="P596" s="34"/>
      <c r="Q596" s="34"/>
      <c r="R596" s="34">
        <v>0</v>
      </c>
      <c r="S596" s="34">
        <f t="shared" si="179"/>
        <v>29480000</v>
      </c>
      <c r="T596" s="4">
        <v>0</v>
      </c>
      <c r="U596" s="4">
        <f t="shared" si="190"/>
        <v>7370000</v>
      </c>
      <c r="V596" s="34"/>
      <c r="W596" s="34"/>
      <c r="X596" s="34"/>
      <c r="Y596" s="34">
        <v>72186</v>
      </c>
      <c r="Z596" s="34">
        <f t="shared" si="182"/>
        <v>7370000</v>
      </c>
      <c r="AA596" s="4">
        <v>2395250</v>
      </c>
      <c r="AB596" s="8">
        <f t="shared" si="184"/>
        <v>2395250</v>
      </c>
      <c r="AC596" s="4">
        <f t="shared" si="178"/>
        <v>1916200</v>
      </c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</row>
    <row r="597" spans="1:61" s="95" customFormat="1" ht="27.6" customHeight="1" x14ac:dyDescent="0.2">
      <c r="A597" s="9">
        <v>585</v>
      </c>
      <c r="B597" s="58" t="s">
        <v>552</v>
      </c>
      <c r="C597" s="9" t="s">
        <v>345</v>
      </c>
      <c r="D597" s="71">
        <v>161802000</v>
      </c>
      <c r="E597" s="9"/>
      <c r="F597" s="9"/>
      <c r="G597" s="62"/>
      <c r="H597" s="54">
        <v>6.5</v>
      </c>
      <c r="I597" s="94"/>
      <c r="J597" s="94"/>
      <c r="K597" s="34"/>
      <c r="L597" s="34">
        <v>0</v>
      </c>
      <c r="M597" s="8">
        <v>161802000</v>
      </c>
      <c r="N597" s="8">
        <f t="shared" si="186"/>
        <v>161802000</v>
      </c>
      <c r="O597" s="34"/>
      <c r="P597" s="34"/>
      <c r="Q597" s="34"/>
      <c r="R597" s="34">
        <v>0</v>
      </c>
      <c r="S597" s="34">
        <f t="shared" si="179"/>
        <v>129441600</v>
      </c>
      <c r="T597" s="4">
        <v>0</v>
      </c>
      <c r="U597" s="4">
        <f t="shared" si="190"/>
        <v>32360400</v>
      </c>
      <c r="V597" s="34"/>
      <c r="W597" s="34"/>
      <c r="X597" s="34"/>
      <c r="Y597" s="34">
        <v>115256</v>
      </c>
      <c r="Z597" s="34">
        <f t="shared" si="182"/>
        <v>32360400</v>
      </c>
      <c r="AA597" s="4">
        <v>10517130</v>
      </c>
      <c r="AB597" s="8">
        <f t="shared" si="184"/>
        <v>10517130</v>
      </c>
      <c r="AC597" s="4">
        <f t="shared" si="178"/>
        <v>8413704</v>
      </c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</row>
    <row r="598" spans="1:61" s="95" customFormat="1" ht="27.6" customHeight="1" x14ac:dyDescent="0.2">
      <c r="A598" s="9">
        <v>586</v>
      </c>
      <c r="B598" s="58" t="s">
        <v>554</v>
      </c>
      <c r="C598" s="9" t="s">
        <v>345</v>
      </c>
      <c r="D598" s="71">
        <v>18951000</v>
      </c>
      <c r="E598" s="9"/>
      <c r="F598" s="9"/>
      <c r="G598" s="62"/>
      <c r="H598" s="54">
        <v>6.5</v>
      </c>
      <c r="I598" s="94"/>
      <c r="J598" s="94"/>
      <c r="K598" s="34"/>
      <c r="L598" s="34">
        <v>0</v>
      </c>
      <c r="M598" s="8">
        <v>18951000</v>
      </c>
      <c r="N598" s="8">
        <f t="shared" si="186"/>
        <v>18951000</v>
      </c>
      <c r="O598" s="34"/>
      <c r="P598" s="34"/>
      <c r="Q598" s="34"/>
      <c r="R598" s="34">
        <v>0</v>
      </c>
      <c r="S598" s="34">
        <f t="shared" si="179"/>
        <v>15160800</v>
      </c>
      <c r="T598" s="4">
        <v>0</v>
      </c>
      <c r="U598" s="4">
        <f t="shared" si="190"/>
        <v>3790200</v>
      </c>
      <c r="V598" s="34"/>
      <c r="W598" s="34"/>
      <c r="X598" s="34"/>
      <c r="Y598" s="34">
        <v>6750</v>
      </c>
      <c r="Z598" s="34">
        <f t="shared" si="182"/>
        <v>3790200</v>
      </c>
      <c r="AA598" s="4">
        <v>1231815</v>
      </c>
      <c r="AB598" s="8">
        <f t="shared" si="184"/>
        <v>1231815</v>
      </c>
      <c r="AC598" s="4">
        <f t="shared" si="178"/>
        <v>985452</v>
      </c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</row>
    <row r="599" spans="1:61" s="95" customFormat="1" ht="27.6" customHeight="1" x14ac:dyDescent="0.2">
      <c r="A599" s="9">
        <v>587</v>
      </c>
      <c r="B599" s="58" t="s">
        <v>554</v>
      </c>
      <c r="C599" s="9" t="s">
        <v>345</v>
      </c>
      <c r="D599" s="71">
        <v>11570000</v>
      </c>
      <c r="E599" s="9"/>
      <c r="F599" s="9"/>
      <c r="G599" s="62"/>
      <c r="H599" s="54">
        <v>6.5</v>
      </c>
      <c r="I599" s="94"/>
      <c r="J599" s="94"/>
      <c r="K599" s="34"/>
      <c r="L599" s="34">
        <v>0</v>
      </c>
      <c r="M599" s="8">
        <v>11570000</v>
      </c>
      <c r="N599" s="8">
        <f t="shared" si="186"/>
        <v>11570000</v>
      </c>
      <c r="O599" s="34"/>
      <c r="P599" s="34"/>
      <c r="Q599" s="34"/>
      <c r="R599" s="34">
        <v>0</v>
      </c>
      <c r="S599" s="34">
        <f t="shared" si="179"/>
        <v>9256000</v>
      </c>
      <c r="T599" s="4">
        <v>0</v>
      </c>
      <c r="U599" s="4">
        <f t="shared" si="190"/>
        <v>2314000</v>
      </c>
      <c r="V599" s="34"/>
      <c r="W599" s="34"/>
      <c r="X599" s="34"/>
      <c r="Y599" s="34">
        <v>4121</v>
      </c>
      <c r="Z599" s="34">
        <f t="shared" si="182"/>
        <v>2314000</v>
      </c>
      <c r="AA599" s="4">
        <v>752050</v>
      </c>
      <c r="AB599" s="8">
        <f t="shared" si="184"/>
        <v>752050</v>
      </c>
      <c r="AC599" s="4">
        <f t="shared" ref="AC599:AC635" si="191">S599*H599%</f>
        <v>601640</v>
      </c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</row>
    <row r="600" spans="1:61" s="95" customFormat="1" ht="27.6" customHeight="1" x14ac:dyDescent="0.2">
      <c r="A600" s="9">
        <v>588</v>
      </c>
      <c r="B600" s="58" t="s">
        <v>556</v>
      </c>
      <c r="C600" s="9" t="s">
        <v>345</v>
      </c>
      <c r="D600" s="71">
        <v>41111000</v>
      </c>
      <c r="E600" s="9"/>
      <c r="F600" s="9"/>
      <c r="G600" s="62"/>
      <c r="H600" s="54">
        <v>7.5</v>
      </c>
      <c r="I600" s="94"/>
      <c r="J600" s="94"/>
      <c r="K600" s="34"/>
      <c r="L600" s="34"/>
      <c r="M600" s="8">
        <v>41111000</v>
      </c>
      <c r="N600" s="8">
        <v>41111000</v>
      </c>
      <c r="O600" s="34"/>
      <c r="P600" s="34"/>
      <c r="Q600" s="34"/>
      <c r="R600" s="34"/>
      <c r="S600" s="34">
        <f>N600-U600</f>
        <v>41111000</v>
      </c>
      <c r="T600" s="4">
        <v>0</v>
      </c>
      <c r="U600" s="4">
        <v>0</v>
      </c>
      <c r="V600" s="34"/>
      <c r="W600" s="34"/>
      <c r="X600" s="34"/>
      <c r="Y600" s="34"/>
      <c r="Z600" s="34">
        <f>D600/5</f>
        <v>8222200</v>
      </c>
      <c r="AA600" s="4">
        <v>2534240</v>
      </c>
      <c r="AB600" s="8">
        <v>3083325</v>
      </c>
      <c r="AC600" s="4">
        <f t="shared" si="191"/>
        <v>3083325</v>
      </c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</row>
    <row r="601" spans="1:61" s="95" customFormat="1" ht="27.6" customHeight="1" x14ac:dyDescent="0.2">
      <c r="A601" s="9">
        <v>589</v>
      </c>
      <c r="B601" s="58" t="s">
        <v>556</v>
      </c>
      <c r="C601" s="9" t="s">
        <v>345</v>
      </c>
      <c r="D601" s="71">
        <v>51645000</v>
      </c>
      <c r="E601" s="9"/>
      <c r="F601" s="9"/>
      <c r="G601" s="62"/>
      <c r="H601" s="54">
        <v>7.5</v>
      </c>
      <c r="I601" s="94"/>
      <c r="J601" s="94"/>
      <c r="K601" s="34"/>
      <c r="L601" s="34"/>
      <c r="M601" s="8">
        <v>51645000</v>
      </c>
      <c r="N601" s="8">
        <v>51645000</v>
      </c>
      <c r="O601" s="34"/>
      <c r="P601" s="34"/>
      <c r="Q601" s="34"/>
      <c r="R601" s="34"/>
      <c r="S601" s="34">
        <f t="shared" ref="S601:S635" si="192">N601-U601</f>
        <v>51645000</v>
      </c>
      <c r="T601" s="4">
        <v>0</v>
      </c>
      <c r="U601" s="4">
        <v>0</v>
      </c>
      <c r="V601" s="34"/>
      <c r="W601" s="34"/>
      <c r="X601" s="34"/>
      <c r="Y601" s="34"/>
      <c r="Z601" s="34">
        <f t="shared" ref="Z601:Z620" si="193">D601/5</f>
        <v>10329000</v>
      </c>
      <c r="AA601" s="4">
        <v>3183596</v>
      </c>
      <c r="AB601" s="8">
        <v>3873375</v>
      </c>
      <c r="AC601" s="4">
        <f t="shared" si="191"/>
        <v>3873375</v>
      </c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</row>
    <row r="602" spans="1:61" s="95" customFormat="1" ht="27.6" customHeight="1" x14ac:dyDescent="0.2">
      <c r="A602" s="9">
        <v>590</v>
      </c>
      <c r="B602" s="58" t="s">
        <v>560</v>
      </c>
      <c r="C602" s="9" t="s">
        <v>345</v>
      </c>
      <c r="D602" s="71">
        <v>14503000</v>
      </c>
      <c r="E602" s="9"/>
      <c r="F602" s="9"/>
      <c r="G602" s="62"/>
      <c r="H602" s="54">
        <v>7.5</v>
      </c>
      <c r="I602" s="94"/>
      <c r="J602" s="94"/>
      <c r="K602" s="34"/>
      <c r="L602" s="34"/>
      <c r="M602" s="8">
        <v>14503000</v>
      </c>
      <c r="N602" s="8">
        <v>14503000</v>
      </c>
      <c r="O602" s="34"/>
      <c r="P602" s="34"/>
      <c r="Q602" s="34"/>
      <c r="R602" s="34"/>
      <c r="S602" s="34">
        <f t="shared" si="192"/>
        <v>14503000</v>
      </c>
      <c r="T602" s="4">
        <v>0</v>
      </c>
      <c r="U602" s="4">
        <v>0</v>
      </c>
      <c r="V602" s="34"/>
      <c r="W602" s="34"/>
      <c r="X602" s="34"/>
      <c r="Y602" s="34"/>
      <c r="Z602" s="34">
        <f t="shared" si="193"/>
        <v>2900600</v>
      </c>
      <c r="AA602" s="4">
        <f>AB602/365*292</f>
        <v>870180</v>
      </c>
      <c r="AB602" s="8">
        <f>N602*7.5/100</f>
        <v>1087725</v>
      </c>
      <c r="AC602" s="4">
        <f t="shared" si="191"/>
        <v>1087725</v>
      </c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</row>
    <row r="603" spans="1:61" s="95" customFormat="1" ht="27.6" customHeight="1" x14ac:dyDescent="0.2">
      <c r="A603" s="9">
        <v>591</v>
      </c>
      <c r="B603" s="58" t="s">
        <v>561</v>
      </c>
      <c r="C603" s="9" t="s">
        <v>345</v>
      </c>
      <c r="D603" s="71">
        <v>99977000</v>
      </c>
      <c r="E603" s="9"/>
      <c r="F603" s="9"/>
      <c r="G603" s="62"/>
      <c r="H603" s="54">
        <v>7.5</v>
      </c>
      <c r="I603" s="94"/>
      <c r="J603" s="94"/>
      <c r="K603" s="34"/>
      <c r="L603" s="34"/>
      <c r="M603" s="8">
        <v>99977000</v>
      </c>
      <c r="N603" s="8">
        <v>99977000</v>
      </c>
      <c r="O603" s="34"/>
      <c r="P603" s="34"/>
      <c r="Q603" s="34"/>
      <c r="R603" s="34"/>
      <c r="S603" s="34">
        <f t="shared" si="192"/>
        <v>99977000</v>
      </c>
      <c r="T603" s="4">
        <v>0</v>
      </c>
      <c r="U603" s="4">
        <v>0</v>
      </c>
      <c r="V603" s="34"/>
      <c r="W603" s="34"/>
      <c r="X603" s="34"/>
      <c r="Y603" s="34"/>
      <c r="Z603" s="34">
        <f t="shared" si="193"/>
        <v>19995400</v>
      </c>
      <c r="AA603" s="8">
        <f>AB603/365*286</f>
        <v>5875360.6849315073</v>
      </c>
      <c r="AB603" s="8">
        <f>N603*7.5/100</f>
        <v>7498275</v>
      </c>
      <c r="AC603" s="4">
        <f t="shared" si="191"/>
        <v>7498275</v>
      </c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</row>
    <row r="604" spans="1:61" s="95" customFormat="1" ht="27.6" customHeight="1" x14ac:dyDescent="0.2">
      <c r="A604" s="9">
        <v>592</v>
      </c>
      <c r="B604" s="58" t="s">
        <v>564</v>
      </c>
      <c r="C604" s="9" t="s">
        <v>345</v>
      </c>
      <c r="D604" s="71">
        <v>14345000</v>
      </c>
      <c r="E604" s="9"/>
      <c r="F604" s="9"/>
      <c r="G604" s="62"/>
      <c r="H604" s="54">
        <v>7.5</v>
      </c>
      <c r="I604" s="94"/>
      <c r="J604" s="94"/>
      <c r="K604" s="34"/>
      <c r="L604" s="34"/>
      <c r="M604" s="8">
        <v>14345000</v>
      </c>
      <c r="N604" s="8">
        <v>14345000</v>
      </c>
      <c r="O604" s="34"/>
      <c r="P604" s="34"/>
      <c r="Q604" s="34"/>
      <c r="R604" s="34"/>
      <c r="S604" s="34">
        <f t="shared" si="192"/>
        <v>14345000</v>
      </c>
      <c r="T604" s="4">
        <v>0</v>
      </c>
      <c r="U604" s="4">
        <v>0</v>
      </c>
      <c r="V604" s="34"/>
      <c r="W604" s="34"/>
      <c r="X604" s="34"/>
      <c r="Y604" s="34"/>
      <c r="Z604" s="34">
        <f t="shared" si="193"/>
        <v>2869000</v>
      </c>
      <c r="AA604" s="8">
        <f>AB604/365*274</f>
        <v>807643.15068493143</v>
      </c>
      <c r="AB604" s="8">
        <f t="shared" ref="AB604:AB615" si="194">N604*7.5/100</f>
        <v>1075875</v>
      </c>
      <c r="AC604" s="4">
        <f t="shared" si="191"/>
        <v>1075875</v>
      </c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</row>
    <row r="605" spans="1:61" s="95" customFormat="1" ht="27.6" customHeight="1" x14ac:dyDescent="0.2">
      <c r="A605" s="9">
        <v>593</v>
      </c>
      <c r="B605" s="58" t="s">
        <v>565</v>
      </c>
      <c r="C605" s="9" t="s">
        <v>345</v>
      </c>
      <c r="D605" s="71">
        <v>43884000</v>
      </c>
      <c r="E605" s="9"/>
      <c r="F605" s="9"/>
      <c r="G605" s="62"/>
      <c r="H605" s="54">
        <v>7.5</v>
      </c>
      <c r="I605" s="94"/>
      <c r="J605" s="94"/>
      <c r="K605" s="34"/>
      <c r="L605" s="34"/>
      <c r="M605" s="8">
        <v>43884000</v>
      </c>
      <c r="N605" s="8">
        <v>43884000</v>
      </c>
      <c r="O605" s="34"/>
      <c r="P605" s="34"/>
      <c r="Q605" s="34"/>
      <c r="R605" s="34"/>
      <c r="S605" s="34">
        <f t="shared" si="192"/>
        <v>43884000</v>
      </c>
      <c r="T605" s="4">
        <v>0</v>
      </c>
      <c r="U605" s="4">
        <v>0</v>
      </c>
      <c r="V605" s="34"/>
      <c r="W605" s="34"/>
      <c r="X605" s="34"/>
      <c r="Y605" s="34"/>
      <c r="Z605" s="34">
        <f t="shared" si="193"/>
        <v>8776800</v>
      </c>
      <c r="AA605" s="8">
        <f>AB605/365*268</f>
        <v>2416625.7534246575</v>
      </c>
      <c r="AB605" s="8">
        <f t="shared" si="194"/>
        <v>3291300</v>
      </c>
      <c r="AC605" s="4">
        <f t="shared" si="191"/>
        <v>3291300</v>
      </c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</row>
    <row r="606" spans="1:61" s="95" customFormat="1" ht="27.6" customHeight="1" x14ac:dyDescent="0.2">
      <c r="A606" s="9">
        <v>594</v>
      </c>
      <c r="B606" s="58" t="s">
        <v>568</v>
      </c>
      <c r="C606" s="9" t="s">
        <v>345</v>
      </c>
      <c r="D606" s="71">
        <v>82405000</v>
      </c>
      <c r="E606" s="9"/>
      <c r="F606" s="9"/>
      <c r="G606" s="62"/>
      <c r="H606" s="54">
        <v>7.5</v>
      </c>
      <c r="I606" s="94"/>
      <c r="J606" s="94"/>
      <c r="K606" s="34"/>
      <c r="L606" s="34"/>
      <c r="M606" s="8">
        <v>82405000</v>
      </c>
      <c r="N606" s="8">
        <v>82405000</v>
      </c>
      <c r="O606" s="34"/>
      <c r="P606" s="34"/>
      <c r="Q606" s="34"/>
      <c r="R606" s="34"/>
      <c r="S606" s="34">
        <f t="shared" si="192"/>
        <v>82405000</v>
      </c>
      <c r="T606" s="4">
        <v>0</v>
      </c>
      <c r="U606" s="4">
        <v>0</v>
      </c>
      <c r="V606" s="34"/>
      <c r="W606" s="34"/>
      <c r="X606" s="34"/>
      <c r="Y606" s="34"/>
      <c r="Z606" s="34">
        <f t="shared" si="193"/>
        <v>16481000</v>
      </c>
      <c r="AA606" s="8">
        <f>AB606/365*230</f>
        <v>3894482.8767123288</v>
      </c>
      <c r="AB606" s="8">
        <f t="shared" si="194"/>
        <v>6180375</v>
      </c>
      <c r="AC606" s="4">
        <f t="shared" si="191"/>
        <v>6180375</v>
      </c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</row>
    <row r="607" spans="1:61" s="95" customFormat="1" ht="27.6" customHeight="1" x14ac:dyDescent="0.2">
      <c r="A607" s="9">
        <v>595</v>
      </c>
      <c r="B607" s="58" t="s">
        <v>570</v>
      </c>
      <c r="C607" s="9" t="s">
        <v>345</v>
      </c>
      <c r="D607" s="71">
        <v>2772000</v>
      </c>
      <c r="E607" s="9"/>
      <c r="F607" s="9"/>
      <c r="G607" s="62"/>
      <c r="H607" s="54">
        <v>7.5</v>
      </c>
      <c r="I607" s="94"/>
      <c r="J607" s="94"/>
      <c r="K607" s="34"/>
      <c r="L607" s="34"/>
      <c r="M607" s="8">
        <v>2772000</v>
      </c>
      <c r="N607" s="8">
        <v>2772000</v>
      </c>
      <c r="O607" s="34"/>
      <c r="P607" s="34"/>
      <c r="Q607" s="34"/>
      <c r="R607" s="34"/>
      <c r="S607" s="34">
        <f t="shared" si="192"/>
        <v>2772000</v>
      </c>
      <c r="T607" s="4">
        <v>0</v>
      </c>
      <c r="U607" s="4">
        <v>0</v>
      </c>
      <c r="V607" s="34"/>
      <c r="W607" s="34"/>
      <c r="X607" s="34"/>
      <c r="Y607" s="34"/>
      <c r="Z607" s="34">
        <f t="shared" si="193"/>
        <v>554400</v>
      </c>
      <c r="AA607" s="8">
        <f>AB607/365*222</f>
        <v>126448.76712328766</v>
      </c>
      <c r="AB607" s="8">
        <f t="shared" si="194"/>
        <v>207900</v>
      </c>
      <c r="AC607" s="4">
        <f t="shared" si="191"/>
        <v>207900</v>
      </c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</row>
    <row r="608" spans="1:61" s="95" customFormat="1" ht="27.6" customHeight="1" x14ac:dyDescent="0.2">
      <c r="A608" s="9">
        <v>596</v>
      </c>
      <c r="B608" s="58" t="s">
        <v>576</v>
      </c>
      <c r="C608" s="9" t="s">
        <v>345</v>
      </c>
      <c r="D608" s="71">
        <v>14900000</v>
      </c>
      <c r="E608" s="9"/>
      <c r="F608" s="9"/>
      <c r="G608" s="62"/>
      <c r="H608" s="54">
        <v>7.5</v>
      </c>
      <c r="I608" s="94"/>
      <c r="J608" s="94"/>
      <c r="K608" s="34"/>
      <c r="L608" s="34"/>
      <c r="M608" s="8">
        <v>14900000</v>
      </c>
      <c r="N608" s="8">
        <v>14900000</v>
      </c>
      <c r="O608" s="34"/>
      <c r="P608" s="34"/>
      <c r="Q608" s="34"/>
      <c r="R608" s="34"/>
      <c r="S608" s="34">
        <f t="shared" si="192"/>
        <v>14900000</v>
      </c>
      <c r="T608" s="4">
        <v>0</v>
      </c>
      <c r="U608" s="4">
        <v>0</v>
      </c>
      <c r="V608" s="34"/>
      <c r="W608" s="34"/>
      <c r="X608" s="34"/>
      <c r="Y608" s="34"/>
      <c r="Z608" s="34">
        <f t="shared" si="193"/>
        <v>2980000</v>
      </c>
      <c r="AA608" s="8">
        <f>AB608/365*191</f>
        <v>584773.97260273981</v>
      </c>
      <c r="AB608" s="8">
        <f t="shared" si="194"/>
        <v>1117500</v>
      </c>
      <c r="AC608" s="4">
        <f t="shared" si="191"/>
        <v>1117500</v>
      </c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</row>
    <row r="609" spans="1:61" s="95" customFormat="1" ht="27.6" customHeight="1" x14ac:dyDescent="0.2">
      <c r="A609" s="9">
        <v>597</v>
      </c>
      <c r="B609" s="58" t="s">
        <v>578</v>
      </c>
      <c r="C609" s="9" t="s">
        <v>345</v>
      </c>
      <c r="D609" s="71">
        <v>37486000</v>
      </c>
      <c r="E609" s="9"/>
      <c r="F609" s="9"/>
      <c r="G609" s="62"/>
      <c r="H609" s="54">
        <v>7.5</v>
      </c>
      <c r="I609" s="94"/>
      <c r="J609" s="94"/>
      <c r="K609" s="34"/>
      <c r="L609" s="34"/>
      <c r="M609" s="8">
        <v>37486000</v>
      </c>
      <c r="N609" s="8">
        <v>37486000</v>
      </c>
      <c r="O609" s="34"/>
      <c r="P609" s="34"/>
      <c r="Q609" s="34"/>
      <c r="R609" s="34"/>
      <c r="S609" s="34">
        <f t="shared" si="192"/>
        <v>37486000</v>
      </c>
      <c r="T609" s="4">
        <v>0</v>
      </c>
      <c r="U609" s="4">
        <v>0</v>
      </c>
      <c r="V609" s="34"/>
      <c r="W609" s="34"/>
      <c r="X609" s="34"/>
      <c r="Y609" s="34"/>
      <c r="Z609" s="34">
        <f t="shared" si="193"/>
        <v>7497200</v>
      </c>
      <c r="AA609" s="8">
        <f>AB609/365*188</f>
        <v>1448089.3150684931</v>
      </c>
      <c r="AB609" s="8">
        <f t="shared" si="194"/>
        <v>2811450</v>
      </c>
      <c r="AC609" s="4">
        <f t="shared" si="191"/>
        <v>2811450</v>
      </c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</row>
    <row r="610" spans="1:61" s="95" customFormat="1" ht="27.6" customHeight="1" x14ac:dyDescent="0.2">
      <c r="A610" s="9">
        <v>598</v>
      </c>
      <c r="B610" s="58" t="s">
        <v>583</v>
      </c>
      <c r="C610" s="9" t="s">
        <v>345</v>
      </c>
      <c r="D610" s="71">
        <v>38510000</v>
      </c>
      <c r="E610" s="9"/>
      <c r="F610" s="9"/>
      <c r="G610" s="62"/>
      <c r="H610" s="54">
        <v>7.5</v>
      </c>
      <c r="I610" s="94"/>
      <c r="J610" s="94"/>
      <c r="K610" s="34"/>
      <c r="L610" s="34"/>
      <c r="M610" s="8">
        <v>38510000</v>
      </c>
      <c r="N610" s="8">
        <v>38510000</v>
      </c>
      <c r="O610" s="34"/>
      <c r="P610" s="34"/>
      <c r="Q610" s="34"/>
      <c r="R610" s="34"/>
      <c r="S610" s="34">
        <f t="shared" si="192"/>
        <v>38510000</v>
      </c>
      <c r="T610" s="4">
        <v>0</v>
      </c>
      <c r="U610" s="4">
        <v>0</v>
      </c>
      <c r="V610" s="34"/>
      <c r="W610" s="34"/>
      <c r="X610" s="34"/>
      <c r="Y610" s="34"/>
      <c r="Z610" s="34">
        <f t="shared" si="193"/>
        <v>7702000</v>
      </c>
      <c r="AA610" s="8">
        <f>AB610/365*146</f>
        <v>1155300</v>
      </c>
      <c r="AB610" s="8">
        <f t="shared" si="194"/>
        <v>2888250</v>
      </c>
      <c r="AC610" s="4">
        <f t="shared" si="191"/>
        <v>2888250</v>
      </c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</row>
    <row r="611" spans="1:61" s="95" customFormat="1" ht="27.6" customHeight="1" x14ac:dyDescent="0.2">
      <c r="A611" s="9">
        <v>599</v>
      </c>
      <c r="B611" s="58" t="s">
        <v>584</v>
      </c>
      <c r="C611" s="9" t="s">
        <v>345</v>
      </c>
      <c r="D611" s="71">
        <v>40228000</v>
      </c>
      <c r="E611" s="9"/>
      <c r="F611" s="9"/>
      <c r="G611" s="62"/>
      <c r="H611" s="54">
        <v>7.5</v>
      </c>
      <c r="I611" s="94"/>
      <c r="J611" s="94"/>
      <c r="K611" s="34"/>
      <c r="L611" s="34"/>
      <c r="M611" s="8">
        <v>40228000</v>
      </c>
      <c r="N611" s="8">
        <v>40228000</v>
      </c>
      <c r="O611" s="34"/>
      <c r="P611" s="34"/>
      <c r="Q611" s="34"/>
      <c r="R611" s="34"/>
      <c r="S611" s="34">
        <f t="shared" si="192"/>
        <v>40228000</v>
      </c>
      <c r="T611" s="4">
        <v>0</v>
      </c>
      <c r="U611" s="4">
        <v>0</v>
      </c>
      <c r="V611" s="34"/>
      <c r="W611" s="34"/>
      <c r="X611" s="34"/>
      <c r="Y611" s="34"/>
      <c r="Z611" s="34">
        <f t="shared" si="193"/>
        <v>8045600</v>
      </c>
      <c r="AA611" s="8">
        <f>AB611/365*138</f>
        <v>1140711.7808219178</v>
      </c>
      <c r="AB611" s="8">
        <f t="shared" si="194"/>
        <v>3017100</v>
      </c>
      <c r="AC611" s="4">
        <f t="shared" si="191"/>
        <v>3017100</v>
      </c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</row>
    <row r="612" spans="1:61" s="95" customFormat="1" ht="27.6" customHeight="1" x14ac:dyDescent="0.2">
      <c r="A612" s="9">
        <v>600</v>
      </c>
      <c r="B612" s="58" t="s">
        <v>589</v>
      </c>
      <c r="C612" s="9" t="s">
        <v>345</v>
      </c>
      <c r="D612" s="71">
        <v>22840000</v>
      </c>
      <c r="E612" s="9"/>
      <c r="F612" s="9"/>
      <c r="G612" s="62"/>
      <c r="H612" s="54">
        <v>7.5</v>
      </c>
      <c r="I612" s="94"/>
      <c r="J612" s="94"/>
      <c r="K612" s="34"/>
      <c r="L612" s="34"/>
      <c r="M612" s="8">
        <v>22840000</v>
      </c>
      <c r="N612" s="8">
        <v>22840000</v>
      </c>
      <c r="O612" s="34"/>
      <c r="P612" s="34"/>
      <c r="Q612" s="34"/>
      <c r="R612" s="34"/>
      <c r="S612" s="34">
        <f t="shared" si="192"/>
        <v>22840000</v>
      </c>
      <c r="T612" s="4">
        <v>0</v>
      </c>
      <c r="U612" s="4">
        <v>0</v>
      </c>
      <c r="V612" s="34"/>
      <c r="W612" s="34"/>
      <c r="X612" s="34"/>
      <c r="Y612" s="34"/>
      <c r="Z612" s="34">
        <f t="shared" si="193"/>
        <v>4568000</v>
      </c>
      <c r="AA612" s="8">
        <f>AB612/365*103</f>
        <v>483394.52054794517</v>
      </c>
      <c r="AB612" s="8">
        <f t="shared" si="194"/>
        <v>1713000</v>
      </c>
      <c r="AC612" s="4">
        <f t="shared" si="191"/>
        <v>1713000</v>
      </c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</row>
    <row r="613" spans="1:61" s="95" customFormat="1" ht="27.6" customHeight="1" x14ac:dyDescent="0.2">
      <c r="A613" s="9">
        <v>601</v>
      </c>
      <c r="B613" s="58" t="s">
        <v>589</v>
      </c>
      <c r="C613" s="9" t="s">
        <v>345</v>
      </c>
      <c r="D613" s="71">
        <v>8216000</v>
      </c>
      <c r="E613" s="9"/>
      <c r="F613" s="9"/>
      <c r="G613" s="62"/>
      <c r="H613" s="54">
        <v>7.5</v>
      </c>
      <c r="I613" s="94"/>
      <c r="J613" s="94"/>
      <c r="K613" s="34"/>
      <c r="L613" s="34"/>
      <c r="M613" s="8">
        <v>8216000</v>
      </c>
      <c r="N613" s="8">
        <v>8216000</v>
      </c>
      <c r="O613" s="34"/>
      <c r="P613" s="34"/>
      <c r="Q613" s="34"/>
      <c r="R613" s="34"/>
      <c r="S613" s="34">
        <f t="shared" si="192"/>
        <v>8216000</v>
      </c>
      <c r="T613" s="4">
        <v>0</v>
      </c>
      <c r="U613" s="4">
        <v>0</v>
      </c>
      <c r="V613" s="34"/>
      <c r="W613" s="34"/>
      <c r="X613" s="34"/>
      <c r="Y613" s="34"/>
      <c r="Z613" s="34">
        <f t="shared" si="193"/>
        <v>1643200</v>
      </c>
      <c r="AA613" s="8">
        <f>AB613/365*103</f>
        <v>173886.57534246575</v>
      </c>
      <c r="AB613" s="8">
        <f t="shared" si="194"/>
        <v>616200</v>
      </c>
      <c r="AC613" s="4">
        <f t="shared" si="191"/>
        <v>616200</v>
      </c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</row>
    <row r="614" spans="1:61" s="95" customFormat="1" ht="27.6" customHeight="1" x14ac:dyDescent="0.2">
      <c r="A614" s="9">
        <v>602</v>
      </c>
      <c r="B614" s="58" t="s">
        <v>590</v>
      </c>
      <c r="C614" s="9" t="s">
        <v>345</v>
      </c>
      <c r="D614" s="71">
        <v>16536000</v>
      </c>
      <c r="E614" s="9"/>
      <c r="F614" s="9"/>
      <c r="G614" s="62"/>
      <c r="H614" s="54">
        <v>7.5</v>
      </c>
      <c r="I614" s="94"/>
      <c r="J614" s="94"/>
      <c r="K614" s="34"/>
      <c r="L614" s="34"/>
      <c r="M614" s="8">
        <v>16536000</v>
      </c>
      <c r="N614" s="8">
        <v>16536000</v>
      </c>
      <c r="O614" s="34"/>
      <c r="P614" s="34"/>
      <c r="Q614" s="34"/>
      <c r="R614" s="34"/>
      <c r="S614" s="34">
        <f t="shared" si="192"/>
        <v>16536000</v>
      </c>
      <c r="T614" s="4">
        <v>0</v>
      </c>
      <c r="U614" s="4">
        <v>0</v>
      </c>
      <c r="V614" s="34"/>
      <c r="W614" s="34"/>
      <c r="X614" s="34"/>
      <c r="Y614" s="34"/>
      <c r="Z614" s="34">
        <f t="shared" si="193"/>
        <v>3307200</v>
      </c>
      <c r="AA614" s="8">
        <f>AB614/365*100</f>
        <v>339780.82191780821</v>
      </c>
      <c r="AB614" s="8">
        <f t="shared" si="194"/>
        <v>1240200</v>
      </c>
      <c r="AC614" s="4">
        <f t="shared" si="191"/>
        <v>1240200</v>
      </c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</row>
    <row r="615" spans="1:61" s="95" customFormat="1" ht="27.6" customHeight="1" x14ac:dyDescent="0.2">
      <c r="A615" s="9">
        <v>603</v>
      </c>
      <c r="B615" s="58" t="s">
        <v>593</v>
      </c>
      <c r="C615" s="9" t="s">
        <v>345</v>
      </c>
      <c r="D615" s="71">
        <v>61328000</v>
      </c>
      <c r="E615" s="9"/>
      <c r="F615" s="9"/>
      <c r="G615" s="62"/>
      <c r="H615" s="54">
        <v>7.5</v>
      </c>
      <c r="I615" s="94"/>
      <c r="J615" s="94"/>
      <c r="K615" s="34"/>
      <c r="L615" s="34"/>
      <c r="M615" s="8">
        <v>61328000</v>
      </c>
      <c r="N615" s="8">
        <v>61328000</v>
      </c>
      <c r="O615" s="34"/>
      <c r="P615" s="34"/>
      <c r="Q615" s="34"/>
      <c r="R615" s="34"/>
      <c r="S615" s="34">
        <f t="shared" si="192"/>
        <v>61328000</v>
      </c>
      <c r="T615" s="4">
        <v>0</v>
      </c>
      <c r="U615" s="4">
        <v>0</v>
      </c>
      <c r="V615" s="34"/>
      <c r="W615" s="34"/>
      <c r="X615" s="34"/>
      <c r="Y615" s="34"/>
      <c r="Z615" s="34">
        <f t="shared" si="193"/>
        <v>12265600</v>
      </c>
      <c r="AA615" s="8">
        <f>AB615/365*72</f>
        <v>907318.35616438359</v>
      </c>
      <c r="AB615" s="8">
        <f t="shared" si="194"/>
        <v>4599600</v>
      </c>
      <c r="AC615" s="4">
        <f t="shared" si="191"/>
        <v>4599600</v>
      </c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</row>
    <row r="616" spans="1:61" s="95" customFormat="1" ht="27.6" customHeight="1" x14ac:dyDescent="0.2">
      <c r="A616" s="9">
        <v>604</v>
      </c>
      <c r="B616" s="58" t="s">
        <v>630</v>
      </c>
      <c r="C616" s="9" t="s">
        <v>345</v>
      </c>
      <c r="D616" s="71">
        <v>11912000</v>
      </c>
      <c r="E616" s="9"/>
      <c r="F616" s="9"/>
      <c r="G616" s="62"/>
      <c r="H616" s="54">
        <v>7.25</v>
      </c>
      <c r="I616" s="94"/>
      <c r="J616" s="94"/>
      <c r="K616" s="34"/>
      <c r="L616" s="34"/>
      <c r="M616" s="8">
        <v>11912000</v>
      </c>
      <c r="N616" s="8">
        <v>11912000</v>
      </c>
      <c r="O616" s="34"/>
      <c r="P616" s="34"/>
      <c r="Q616" s="34"/>
      <c r="R616" s="34"/>
      <c r="S616" s="34">
        <f t="shared" si="192"/>
        <v>11912000</v>
      </c>
      <c r="T616" s="4">
        <v>0</v>
      </c>
      <c r="U616" s="4">
        <v>0</v>
      </c>
      <c r="V616" s="34"/>
      <c r="W616" s="34"/>
      <c r="X616" s="34"/>
      <c r="Y616" s="34"/>
      <c r="Z616" s="34">
        <f t="shared" si="193"/>
        <v>2382400</v>
      </c>
      <c r="AA616" s="8">
        <f>AB616/365*20</f>
        <v>47321.643835616444</v>
      </c>
      <c r="AB616" s="8">
        <f>N616*7.25/100</f>
        <v>863620</v>
      </c>
      <c r="AC616" s="4">
        <f t="shared" si="191"/>
        <v>863619.99999999988</v>
      </c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</row>
    <row r="617" spans="1:61" s="95" customFormat="1" ht="27.6" customHeight="1" x14ac:dyDescent="0.2">
      <c r="A617" s="9">
        <v>605</v>
      </c>
      <c r="B617" s="58" t="s">
        <v>632</v>
      </c>
      <c r="C617" s="9" t="s">
        <v>345</v>
      </c>
      <c r="D617" s="71">
        <v>183968000</v>
      </c>
      <c r="E617" s="9"/>
      <c r="F617" s="9"/>
      <c r="G617" s="62"/>
      <c r="H617" s="54">
        <v>7.25</v>
      </c>
      <c r="I617" s="94"/>
      <c r="J617" s="94"/>
      <c r="K617" s="34"/>
      <c r="L617" s="34"/>
      <c r="M617" s="8">
        <v>183968000</v>
      </c>
      <c r="N617" s="8">
        <v>183968000</v>
      </c>
      <c r="O617" s="34"/>
      <c r="P617" s="34"/>
      <c r="Q617" s="34"/>
      <c r="R617" s="34"/>
      <c r="S617" s="34">
        <f t="shared" si="192"/>
        <v>183968000</v>
      </c>
      <c r="T617" s="4">
        <v>0</v>
      </c>
      <c r="U617" s="4">
        <v>0</v>
      </c>
      <c r="V617" s="34"/>
      <c r="W617" s="34"/>
      <c r="X617" s="34"/>
      <c r="Y617" s="34"/>
      <c r="Z617" s="34">
        <f t="shared" si="193"/>
        <v>36793600</v>
      </c>
      <c r="AA617" s="8">
        <f>AB617/365*18</f>
        <v>657748.60273972596</v>
      </c>
      <c r="AB617" s="8">
        <f>N617*7.25/100</f>
        <v>13337680</v>
      </c>
      <c r="AC617" s="4">
        <f t="shared" si="191"/>
        <v>13337680</v>
      </c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</row>
    <row r="618" spans="1:61" s="95" customFormat="1" ht="27.6" customHeight="1" x14ac:dyDescent="0.2">
      <c r="A618" s="9">
        <v>606</v>
      </c>
      <c r="B618" s="58" t="s">
        <v>634</v>
      </c>
      <c r="C618" s="9" t="s">
        <v>345</v>
      </c>
      <c r="D618" s="71">
        <v>178092000</v>
      </c>
      <c r="E618" s="9"/>
      <c r="F618" s="9"/>
      <c r="G618" s="62"/>
      <c r="H618" s="54">
        <v>7</v>
      </c>
      <c r="I618" s="94"/>
      <c r="J618" s="94"/>
      <c r="K618" s="34"/>
      <c r="L618" s="34"/>
      <c r="M618" s="8">
        <v>178092000</v>
      </c>
      <c r="N618" s="8">
        <v>178092000</v>
      </c>
      <c r="O618" s="34"/>
      <c r="P618" s="34"/>
      <c r="Q618" s="34"/>
      <c r="R618" s="34"/>
      <c r="S618" s="34">
        <f t="shared" si="192"/>
        <v>178092000</v>
      </c>
      <c r="T618" s="4">
        <v>0</v>
      </c>
      <c r="U618" s="4">
        <v>0</v>
      </c>
      <c r="V618" s="34"/>
      <c r="W618" s="34"/>
      <c r="X618" s="34"/>
      <c r="Y618" s="34"/>
      <c r="Z618" s="34">
        <f t="shared" si="193"/>
        <v>35618400</v>
      </c>
      <c r="AA618" s="8">
        <f>AB618/365*11</f>
        <v>375700.9315068493</v>
      </c>
      <c r="AB618" s="8">
        <f>N618*7/100</f>
        <v>12466440</v>
      </c>
      <c r="AC618" s="4">
        <f t="shared" si="191"/>
        <v>12466440.000000002</v>
      </c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</row>
    <row r="619" spans="1:61" s="95" customFormat="1" ht="27.6" customHeight="1" x14ac:dyDescent="0.2">
      <c r="A619" s="9">
        <v>607</v>
      </c>
      <c r="B619" s="58" t="s">
        <v>635</v>
      </c>
      <c r="C619" s="9" t="s">
        <v>345</v>
      </c>
      <c r="D619" s="71">
        <v>14372000</v>
      </c>
      <c r="E619" s="9"/>
      <c r="F619" s="9"/>
      <c r="G619" s="62"/>
      <c r="H619" s="54">
        <v>7</v>
      </c>
      <c r="I619" s="94"/>
      <c r="J619" s="94"/>
      <c r="K619" s="34"/>
      <c r="L619" s="34"/>
      <c r="M619" s="8">
        <v>14372000</v>
      </c>
      <c r="N619" s="8">
        <v>14372000</v>
      </c>
      <c r="O619" s="34"/>
      <c r="P619" s="34"/>
      <c r="Q619" s="34"/>
      <c r="R619" s="34"/>
      <c r="S619" s="34">
        <f t="shared" si="192"/>
        <v>14372000</v>
      </c>
      <c r="T619" s="4">
        <v>0</v>
      </c>
      <c r="U619" s="4">
        <v>0</v>
      </c>
      <c r="V619" s="34"/>
      <c r="W619" s="34"/>
      <c r="X619" s="34"/>
      <c r="Y619" s="34"/>
      <c r="Z619" s="34">
        <f t="shared" si="193"/>
        <v>2874400</v>
      </c>
      <c r="AA619" s="8">
        <f>AB619/365*7</f>
        <v>19293.917808219179</v>
      </c>
      <c r="AB619" s="8">
        <f>N619*7/100</f>
        <v>1006040</v>
      </c>
      <c r="AC619" s="4">
        <f t="shared" si="191"/>
        <v>1006040.0000000001</v>
      </c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</row>
    <row r="620" spans="1:61" s="95" customFormat="1" ht="27.6" customHeight="1" x14ac:dyDescent="0.2">
      <c r="A620" s="9">
        <v>608</v>
      </c>
      <c r="B620" s="58" t="s">
        <v>636</v>
      </c>
      <c r="C620" s="9" t="s">
        <v>345</v>
      </c>
      <c r="D620" s="71">
        <v>24591000</v>
      </c>
      <c r="E620" s="9"/>
      <c r="F620" s="9"/>
      <c r="G620" s="62"/>
      <c r="H620" s="54">
        <v>7</v>
      </c>
      <c r="I620" s="94"/>
      <c r="J620" s="94"/>
      <c r="K620" s="34"/>
      <c r="L620" s="34"/>
      <c r="M620" s="8">
        <v>24591000</v>
      </c>
      <c r="N620" s="8">
        <v>24591000</v>
      </c>
      <c r="O620" s="34"/>
      <c r="P620" s="34"/>
      <c r="Q620" s="34"/>
      <c r="R620" s="34"/>
      <c r="S620" s="34">
        <f t="shared" si="192"/>
        <v>24591000</v>
      </c>
      <c r="T620" s="4">
        <v>0</v>
      </c>
      <c r="U620" s="4">
        <v>0</v>
      </c>
      <c r="V620" s="34"/>
      <c r="W620" s="34"/>
      <c r="X620" s="34"/>
      <c r="Y620" s="34"/>
      <c r="Z620" s="34">
        <f t="shared" si="193"/>
        <v>4918200</v>
      </c>
      <c r="AA620" s="8">
        <f>AB620/365*6</f>
        <v>28296.493150684932</v>
      </c>
      <c r="AB620" s="8">
        <f>N620*7/100</f>
        <v>1721370</v>
      </c>
      <c r="AC620" s="4">
        <f t="shared" si="191"/>
        <v>1721370.0000000002</v>
      </c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</row>
    <row r="621" spans="1:61" s="95" customFormat="1" ht="27.6" customHeight="1" x14ac:dyDescent="0.2">
      <c r="A621" s="9">
        <v>609</v>
      </c>
      <c r="B621" s="58" t="s">
        <v>644</v>
      </c>
      <c r="C621" s="9" t="s">
        <v>345</v>
      </c>
      <c r="D621" s="71">
        <v>2830000</v>
      </c>
      <c r="E621" s="9"/>
      <c r="F621" s="9"/>
      <c r="G621" s="62"/>
      <c r="H621" s="54">
        <v>6.75</v>
      </c>
      <c r="I621" s="94"/>
      <c r="J621" s="94"/>
      <c r="K621" s="34"/>
      <c r="L621" s="34"/>
      <c r="M621" s="8">
        <v>0</v>
      </c>
      <c r="N621" s="8">
        <f>D621</f>
        <v>2830000</v>
      </c>
      <c r="O621" s="34"/>
      <c r="P621" s="34"/>
      <c r="Q621" s="34"/>
      <c r="R621" s="34"/>
      <c r="S621" s="34">
        <f t="shared" si="192"/>
        <v>2830000</v>
      </c>
      <c r="T621" s="4">
        <v>0</v>
      </c>
      <c r="U621" s="4">
        <v>0</v>
      </c>
      <c r="V621" s="34"/>
      <c r="W621" s="34"/>
      <c r="X621" s="34"/>
      <c r="Y621" s="34"/>
      <c r="Z621" s="34">
        <v>0</v>
      </c>
      <c r="AA621" s="8">
        <f>AB621/365*295</f>
        <v>154390.0684931507</v>
      </c>
      <c r="AB621" s="8">
        <f>N621*6.75/100</f>
        <v>191025</v>
      </c>
      <c r="AC621" s="4">
        <f t="shared" si="191"/>
        <v>191025</v>
      </c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</row>
    <row r="622" spans="1:61" s="95" customFormat="1" ht="27.6" customHeight="1" x14ac:dyDescent="0.2">
      <c r="A622" s="9">
        <v>610</v>
      </c>
      <c r="B622" s="58" t="s">
        <v>646</v>
      </c>
      <c r="C622" s="9" t="s">
        <v>345</v>
      </c>
      <c r="D622" s="71">
        <v>4904000</v>
      </c>
      <c r="E622" s="9"/>
      <c r="F622" s="9"/>
      <c r="G622" s="62"/>
      <c r="H622" s="54">
        <v>6.75</v>
      </c>
      <c r="I622" s="94"/>
      <c r="J622" s="94"/>
      <c r="K622" s="34"/>
      <c r="L622" s="34"/>
      <c r="M622" s="8">
        <v>0</v>
      </c>
      <c r="N622" s="8">
        <f>D622</f>
        <v>4904000</v>
      </c>
      <c r="O622" s="34"/>
      <c r="P622" s="34"/>
      <c r="Q622" s="34"/>
      <c r="R622" s="34"/>
      <c r="S622" s="34">
        <f t="shared" si="192"/>
        <v>4904000</v>
      </c>
      <c r="T622" s="4">
        <v>0</v>
      </c>
      <c r="U622" s="4">
        <v>0</v>
      </c>
      <c r="V622" s="34"/>
      <c r="W622" s="34"/>
      <c r="X622" s="34"/>
      <c r="Y622" s="34"/>
      <c r="Z622" s="34">
        <v>0</v>
      </c>
      <c r="AA622" s="8">
        <f>AB622/365*279</f>
        <v>253026.24657534246</v>
      </c>
      <c r="AB622" s="8">
        <f>N622*6.75/100</f>
        <v>331020</v>
      </c>
      <c r="AC622" s="4">
        <f t="shared" si="191"/>
        <v>331020</v>
      </c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</row>
    <row r="623" spans="1:61" s="95" customFormat="1" ht="27.6" customHeight="1" x14ac:dyDescent="0.2">
      <c r="A623" s="9">
        <v>611</v>
      </c>
      <c r="B623" s="58" t="s">
        <v>649</v>
      </c>
      <c r="C623" s="9" t="s">
        <v>345</v>
      </c>
      <c r="D623" s="71">
        <v>31645000</v>
      </c>
      <c r="E623" s="9"/>
      <c r="F623" s="9"/>
      <c r="G623" s="62"/>
      <c r="H623" s="54">
        <v>8.75</v>
      </c>
      <c r="I623" s="94"/>
      <c r="J623" s="94"/>
      <c r="K623" s="34"/>
      <c r="L623" s="34"/>
      <c r="M623" s="8">
        <v>0</v>
      </c>
      <c r="N623" s="8">
        <f t="shared" ref="N623:N635" si="195">D623</f>
        <v>31645000</v>
      </c>
      <c r="O623" s="34"/>
      <c r="P623" s="34"/>
      <c r="Q623" s="34"/>
      <c r="R623" s="34"/>
      <c r="S623" s="34">
        <f t="shared" si="192"/>
        <v>31645000</v>
      </c>
      <c r="T623" s="4">
        <v>0</v>
      </c>
      <c r="U623" s="4">
        <v>0</v>
      </c>
      <c r="V623" s="34"/>
      <c r="W623" s="34"/>
      <c r="X623" s="34"/>
      <c r="Y623" s="34"/>
      <c r="Z623" s="34">
        <v>0</v>
      </c>
      <c r="AA623" s="8">
        <f>AB623/365*229</f>
        <v>1737223.8013698631</v>
      </c>
      <c r="AB623" s="8">
        <f>N623*8.75/100</f>
        <v>2768937.5</v>
      </c>
      <c r="AC623" s="4">
        <f t="shared" si="191"/>
        <v>2768937.5</v>
      </c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</row>
    <row r="624" spans="1:61" s="95" customFormat="1" ht="27.6" customHeight="1" x14ac:dyDescent="0.2">
      <c r="A624" s="9">
        <v>612</v>
      </c>
      <c r="B624" s="58" t="s">
        <v>649</v>
      </c>
      <c r="C624" s="9" t="s">
        <v>345</v>
      </c>
      <c r="D624" s="71">
        <v>30933000</v>
      </c>
      <c r="E624" s="9"/>
      <c r="F624" s="9"/>
      <c r="G624" s="62"/>
      <c r="H624" s="54">
        <v>8.75</v>
      </c>
      <c r="I624" s="94"/>
      <c r="J624" s="94"/>
      <c r="K624" s="34"/>
      <c r="L624" s="34"/>
      <c r="M624" s="8">
        <v>0</v>
      </c>
      <c r="N624" s="8">
        <f t="shared" si="195"/>
        <v>30933000</v>
      </c>
      <c r="O624" s="34"/>
      <c r="P624" s="34"/>
      <c r="Q624" s="34"/>
      <c r="R624" s="34"/>
      <c r="S624" s="34">
        <f t="shared" si="192"/>
        <v>30933000</v>
      </c>
      <c r="T624" s="4">
        <v>0</v>
      </c>
      <c r="U624" s="4">
        <v>0</v>
      </c>
      <c r="V624" s="34"/>
      <c r="W624" s="34"/>
      <c r="X624" s="34"/>
      <c r="Y624" s="34"/>
      <c r="Z624" s="34">
        <v>0</v>
      </c>
      <c r="AA624" s="8">
        <f>AB624/365*229</f>
        <v>1698136.9520547944</v>
      </c>
      <c r="AB624" s="8">
        <f t="shared" ref="AB624" si="196">N624*8.75/100</f>
        <v>2706637.5</v>
      </c>
      <c r="AC624" s="4">
        <f t="shared" si="191"/>
        <v>2706637.5</v>
      </c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</row>
    <row r="625" spans="1:61" s="95" customFormat="1" ht="27.6" customHeight="1" x14ac:dyDescent="0.2">
      <c r="A625" s="9">
        <v>613</v>
      </c>
      <c r="B625" s="58" t="s">
        <v>652</v>
      </c>
      <c r="C625" s="9" t="s">
        <v>345</v>
      </c>
      <c r="D625" s="71">
        <v>14061000</v>
      </c>
      <c r="E625" s="9"/>
      <c r="F625" s="9"/>
      <c r="G625" s="62"/>
      <c r="H625" s="54">
        <v>8.75</v>
      </c>
      <c r="I625" s="94"/>
      <c r="J625" s="94"/>
      <c r="K625" s="34"/>
      <c r="L625" s="34"/>
      <c r="M625" s="8">
        <v>0</v>
      </c>
      <c r="N625" s="8">
        <f t="shared" si="195"/>
        <v>14061000</v>
      </c>
      <c r="O625" s="34"/>
      <c r="P625" s="34"/>
      <c r="Q625" s="34"/>
      <c r="R625" s="34"/>
      <c r="S625" s="34">
        <f t="shared" si="192"/>
        <v>14061000</v>
      </c>
      <c r="T625" s="4">
        <v>0</v>
      </c>
      <c r="U625" s="4">
        <v>0</v>
      </c>
      <c r="V625" s="34"/>
      <c r="W625" s="34"/>
      <c r="X625" s="34"/>
      <c r="Y625" s="34"/>
      <c r="Z625" s="34">
        <v>0</v>
      </c>
      <c r="AA625" s="8">
        <f>AB625/365*211</f>
        <v>711236.19863013702</v>
      </c>
      <c r="AB625" s="8">
        <f>N625*8.75/100</f>
        <v>1230337.5</v>
      </c>
      <c r="AC625" s="4">
        <f t="shared" si="191"/>
        <v>1230337.5</v>
      </c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</row>
    <row r="626" spans="1:61" s="95" customFormat="1" ht="27.6" customHeight="1" x14ac:dyDescent="0.2">
      <c r="A626" s="9">
        <v>614</v>
      </c>
      <c r="B626" s="58" t="s">
        <v>653</v>
      </c>
      <c r="C626" s="9" t="s">
        <v>345</v>
      </c>
      <c r="D626" s="71">
        <v>54445000</v>
      </c>
      <c r="E626" s="9"/>
      <c r="F626" s="9"/>
      <c r="G626" s="62"/>
      <c r="H626" s="54">
        <v>8.75</v>
      </c>
      <c r="I626" s="94"/>
      <c r="J626" s="94"/>
      <c r="K626" s="34"/>
      <c r="L626" s="34"/>
      <c r="M626" s="8">
        <v>0</v>
      </c>
      <c r="N626" s="8">
        <f t="shared" si="195"/>
        <v>54445000</v>
      </c>
      <c r="O626" s="34"/>
      <c r="P626" s="34"/>
      <c r="Q626" s="34"/>
      <c r="R626" s="34"/>
      <c r="S626" s="34">
        <f t="shared" si="192"/>
        <v>54445000</v>
      </c>
      <c r="T626" s="4">
        <v>0</v>
      </c>
      <c r="U626" s="4">
        <v>0</v>
      </c>
      <c r="V626" s="34"/>
      <c r="W626" s="34"/>
      <c r="X626" s="34"/>
      <c r="Y626" s="34"/>
      <c r="Z626" s="34">
        <v>0</v>
      </c>
      <c r="AA626" s="8">
        <f>AB626/365*210</f>
        <v>2740895.5479452056</v>
      </c>
      <c r="AB626" s="8">
        <f t="shared" ref="AB626" si="197">N626*8.75/100</f>
        <v>4763937.5</v>
      </c>
      <c r="AC626" s="4">
        <f t="shared" si="191"/>
        <v>4763937.5</v>
      </c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</row>
    <row r="627" spans="1:61" s="95" customFormat="1" ht="27.6" customHeight="1" x14ac:dyDescent="0.2">
      <c r="A627" s="9">
        <v>615</v>
      </c>
      <c r="B627" s="58" t="s">
        <v>659</v>
      </c>
      <c r="C627" s="9" t="s">
        <v>345</v>
      </c>
      <c r="D627" s="71">
        <v>60279000</v>
      </c>
      <c r="E627" s="9"/>
      <c r="F627" s="9"/>
      <c r="G627" s="62"/>
      <c r="H627" s="54">
        <v>8</v>
      </c>
      <c r="I627" s="94"/>
      <c r="J627" s="94"/>
      <c r="K627" s="34"/>
      <c r="L627" s="34"/>
      <c r="M627" s="8">
        <v>0</v>
      </c>
      <c r="N627" s="8">
        <f t="shared" si="195"/>
        <v>60279000</v>
      </c>
      <c r="O627" s="34"/>
      <c r="P627" s="34"/>
      <c r="Q627" s="34"/>
      <c r="R627" s="34"/>
      <c r="S627" s="34">
        <f t="shared" si="192"/>
        <v>60279000</v>
      </c>
      <c r="T627" s="4">
        <v>0</v>
      </c>
      <c r="U627" s="4">
        <v>0</v>
      </c>
      <c r="V627" s="34"/>
      <c r="W627" s="34"/>
      <c r="X627" s="34"/>
      <c r="Y627" s="34"/>
      <c r="Z627" s="34">
        <v>0</v>
      </c>
      <c r="AA627" s="8">
        <f>AB627/365*181</f>
        <v>2391342.2465753425</v>
      </c>
      <c r="AB627" s="8">
        <f>N627*8/100</f>
        <v>4822320</v>
      </c>
      <c r="AC627" s="4">
        <f t="shared" si="191"/>
        <v>4822320</v>
      </c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</row>
    <row r="628" spans="1:61" s="95" customFormat="1" ht="27.6" customHeight="1" x14ac:dyDescent="0.2">
      <c r="A628" s="9">
        <v>616</v>
      </c>
      <c r="B628" s="58" t="s">
        <v>663</v>
      </c>
      <c r="C628" s="9" t="s">
        <v>345</v>
      </c>
      <c r="D628" s="71">
        <v>84977000</v>
      </c>
      <c r="E628" s="9"/>
      <c r="F628" s="9"/>
      <c r="G628" s="62"/>
      <c r="H628" s="54">
        <v>7.25</v>
      </c>
      <c r="I628" s="94"/>
      <c r="J628" s="94"/>
      <c r="K628" s="34"/>
      <c r="L628" s="34"/>
      <c r="M628" s="8">
        <v>0</v>
      </c>
      <c r="N628" s="8">
        <f t="shared" si="195"/>
        <v>84977000</v>
      </c>
      <c r="O628" s="34"/>
      <c r="P628" s="34"/>
      <c r="Q628" s="34"/>
      <c r="R628" s="34"/>
      <c r="S628" s="34">
        <f t="shared" si="192"/>
        <v>84977000</v>
      </c>
      <c r="T628" s="4">
        <v>0</v>
      </c>
      <c r="U628" s="4">
        <v>0</v>
      </c>
      <c r="V628" s="34"/>
      <c r="W628" s="34"/>
      <c r="X628" s="34"/>
      <c r="Y628" s="34"/>
      <c r="Z628" s="34">
        <v>0</v>
      </c>
      <c r="AA628" s="8">
        <f>AB628/365*153</f>
        <v>2582485.9520547944</v>
      </c>
      <c r="AB628" s="8">
        <f>N628*7.25/100</f>
        <v>6160832.5</v>
      </c>
      <c r="AC628" s="4">
        <f t="shared" si="191"/>
        <v>6160832.5</v>
      </c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</row>
    <row r="629" spans="1:61" s="95" customFormat="1" ht="27.6" customHeight="1" x14ac:dyDescent="0.2">
      <c r="A629" s="9">
        <v>617</v>
      </c>
      <c r="B629" s="58" t="s">
        <v>664</v>
      </c>
      <c r="C629" s="9" t="s">
        <v>345</v>
      </c>
      <c r="D629" s="71">
        <v>5694000</v>
      </c>
      <c r="E629" s="9"/>
      <c r="F629" s="9"/>
      <c r="G629" s="62"/>
      <c r="H629" s="54">
        <v>7.25</v>
      </c>
      <c r="I629" s="94"/>
      <c r="J629" s="94"/>
      <c r="K629" s="34"/>
      <c r="L629" s="34"/>
      <c r="M629" s="8">
        <v>0</v>
      </c>
      <c r="N629" s="8">
        <f t="shared" si="195"/>
        <v>5694000</v>
      </c>
      <c r="O629" s="34"/>
      <c r="P629" s="34"/>
      <c r="Q629" s="34"/>
      <c r="R629" s="34"/>
      <c r="S629" s="34">
        <f t="shared" si="192"/>
        <v>5694000</v>
      </c>
      <c r="T629" s="4">
        <v>0</v>
      </c>
      <c r="U629" s="4">
        <v>0</v>
      </c>
      <c r="V629" s="34"/>
      <c r="W629" s="34"/>
      <c r="X629" s="34"/>
      <c r="Y629" s="34"/>
      <c r="Z629" s="34">
        <v>0</v>
      </c>
      <c r="AA629" s="8">
        <f>AB629/365*148</f>
        <v>167388</v>
      </c>
      <c r="AB629" s="8">
        <f>N629*7.25/100</f>
        <v>412815</v>
      </c>
      <c r="AC629" s="4">
        <f t="shared" si="191"/>
        <v>412815</v>
      </c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</row>
    <row r="630" spans="1:61" s="95" customFormat="1" ht="27.6" customHeight="1" x14ac:dyDescent="0.2">
      <c r="A630" s="9">
        <v>618</v>
      </c>
      <c r="B630" s="58" t="s">
        <v>664</v>
      </c>
      <c r="C630" s="9" t="s">
        <v>345</v>
      </c>
      <c r="D630" s="71">
        <v>34980000</v>
      </c>
      <c r="E630" s="9"/>
      <c r="F630" s="9"/>
      <c r="G630" s="62"/>
      <c r="H630" s="54">
        <v>7.25</v>
      </c>
      <c r="I630" s="94"/>
      <c r="J630" s="94"/>
      <c r="K630" s="34"/>
      <c r="L630" s="34"/>
      <c r="M630" s="8">
        <v>0</v>
      </c>
      <c r="N630" s="8">
        <f t="shared" si="195"/>
        <v>34980000</v>
      </c>
      <c r="O630" s="34"/>
      <c r="P630" s="34"/>
      <c r="Q630" s="34"/>
      <c r="R630" s="34"/>
      <c r="S630" s="34">
        <f t="shared" si="192"/>
        <v>34980000</v>
      </c>
      <c r="T630" s="4">
        <v>0</v>
      </c>
      <c r="U630" s="4">
        <v>0</v>
      </c>
      <c r="V630" s="34"/>
      <c r="W630" s="34"/>
      <c r="X630" s="34"/>
      <c r="Y630" s="34"/>
      <c r="Z630" s="34">
        <v>0</v>
      </c>
      <c r="AA630" s="8">
        <f>AB630/365*148</f>
        <v>1028316.1643835616</v>
      </c>
      <c r="AB630" s="8">
        <f t="shared" ref="AB630:AB632" si="198">N630*7.25/100</f>
        <v>2536050</v>
      </c>
      <c r="AC630" s="4">
        <f t="shared" si="191"/>
        <v>2536050</v>
      </c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</row>
    <row r="631" spans="1:61" s="95" customFormat="1" ht="27.6" customHeight="1" x14ac:dyDescent="0.2">
      <c r="A631" s="9">
        <v>619</v>
      </c>
      <c r="B631" s="58" t="s">
        <v>666</v>
      </c>
      <c r="C631" s="9" t="s">
        <v>345</v>
      </c>
      <c r="D631" s="71">
        <v>39751000</v>
      </c>
      <c r="E631" s="9"/>
      <c r="F631" s="9"/>
      <c r="G631" s="62"/>
      <c r="H631" s="54">
        <v>7.25</v>
      </c>
      <c r="I631" s="94"/>
      <c r="J631" s="94"/>
      <c r="K631" s="34"/>
      <c r="L631" s="34"/>
      <c r="M631" s="8">
        <v>0</v>
      </c>
      <c r="N631" s="8">
        <f t="shared" si="195"/>
        <v>39751000</v>
      </c>
      <c r="O631" s="34"/>
      <c r="P631" s="34"/>
      <c r="Q631" s="34"/>
      <c r="R631" s="34"/>
      <c r="S631" s="34">
        <f t="shared" si="192"/>
        <v>39751000</v>
      </c>
      <c r="T631" s="4">
        <v>0</v>
      </c>
      <c r="U631" s="4">
        <v>0</v>
      </c>
      <c r="V631" s="34"/>
      <c r="W631" s="34"/>
      <c r="X631" s="34"/>
      <c r="Y631" s="34"/>
      <c r="Z631" s="34">
        <v>0</v>
      </c>
      <c r="AA631" s="8">
        <f>AB631/365*122</f>
        <v>963281.08219178079</v>
      </c>
      <c r="AB631" s="8">
        <f t="shared" si="198"/>
        <v>2881947.5</v>
      </c>
      <c r="AC631" s="4">
        <f t="shared" si="191"/>
        <v>2881947.5</v>
      </c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</row>
    <row r="632" spans="1:61" s="95" customFormat="1" ht="27.6" customHeight="1" x14ac:dyDescent="0.2">
      <c r="A632" s="9">
        <v>620</v>
      </c>
      <c r="B632" s="58" t="s">
        <v>670</v>
      </c>
      <c r="C632" s="9" t="s">
        <v>345</v>
      </c>
      <c r="D632" s="71">
        <v>46932000</v>
      </c>
      <c r="E632" s="9"/>
      <c r="F632" s="9"/>
      <c r="G632" s="62"/>
      <c r="H632" s="54">
        <v>7.25</v>
      </c>
      <c r="I632" s="94"/>
      <c r="J632" s="94"/>
      <c r="K632" s="34"/>
      <c r="L632" s="34"/>
      <c r="M632" s="8">
        <v>0</v>
      </c>
      <c r="N632" s="8">
        <f t="shared" si="195"/>
        <v>46932000</v>
      </c>
      <c r="O632" s="34"/>
      <c r="P632" s="34"/>
      <c r="Q632" s="34"/>
      <c r="R632" s="34"/>
      <c r="S632" s="34">
        <f t="shared" si="192"/>
        <v>46932000</v>
      </c>
      <c r="T632" s="4">
        <v>0</v>
      </c>
      <c r="U632" s="4">
        <v>0</v>
      </c>
      <c r="V632" s="34"/>
      <c r="W632" s="34"/>
      <c r="X632" s="34"/>
      <c r="Y632" s="34"/>
      <c r="Z632" s="34">
        <v>0</v>
      </c>
      <c r="AA632" s="8">
        <f>AB632/365*90</f>
        <v>838989.8630136986</v>
      </c>
      <c r="AB632" s="8">
        <f t="shared" si="198"/>
        <v>3402570</v>
      </c>
      <c r="AC632" s="4">
        <f t="shared" si="191"/>
        <v>3402569.9999999995</v>
      </c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</row>
    <row r="633" spans="1:61" s="95" customFormat="1" ht="27.6" customHeight="1" x14ac:dyDescent="0.2">
      <c r="A633" s="9">
        <v>621</v>
      </c>
      <c r="B633" s="58" t="s">
        <v>675</v>
      </c>
      <c r="C633" s="9" t="s">
        <v>345</v>
      </c>
      <c r="D633" s="71">
        <v>92537000</v>
      </c>
      <c r="E633" s="9"/>
      <c r="F633" s="9"/>
      <c r="G633" s="62"/>
      <c r="H633" s="54">
        <v>7.5</v>
      </c>
      <c r="I633" s="94"/>
      <c r="J633" s="94"/>
      <c r="K633" s="34"/>
      <c r="L633" s="34"/>
      <c r="M633" s="8">
        <v>0</v>
      </c>
      <c r="N633" s="8">
        <f t="shared" si="195"/>
        <v>92537000</v>
      </c>
      <c r="O633" s="34"/>
      <c r="P633" s="34"/>
      <c r="Q633" s="34"/>
      <c r="R633" s="34"/>
      <c r="S633" s="34">
        <f t="shared" si="192"/>
        <v>92537000</v>
      </c>
      <c r="T633" s="4">
        <v>0</v>
      </c>
      <c r="U633" s="4">
        <v>0</v>
      </c>
      <c r="V633" s="34"/>
      <c r="W633" s="34"/>
      <c r="X633" s="34"/>
      <c r="Y633" s="34"/>
      <c r="Z633" s="34">
        <v>0</v>
      </c>
      <c r="AA633" s="8">
        <f>AB633/365*57</f>
        <v>1083823.7671232878</v>
      </c>
      <c r="AB633" s="8">
        <f>N633*7.5/100</f>
        <v>6940275</v>
      </c>
      <c r="AC633" s="4">
        <f t="shared" si="191"/>
        <v>6940275</v>
      </c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</row>
    <row r="634" spans="1:61" s="95" customFormat="1" ht="27.6" customHeight="1" x14ac:dyDescent="0.2">
      <c r="A634" s="9">
        <v>622</v>
      </c>
      <c r="B634" s="58" t="s">
        <v>744</v>
      </c>
      <c r="C634" s="9" t="s">
        <v>345</v>
      </c>
      <c r="D634" s="71">
        <v>51025000</v>
      </c>
      <c r="E634" s="9"/>
      <c r="F634" s="9"/>
      <c r="G634" s="62"/>
      <c r="H634" s="54">
        <v>7.5</v>
      </c>
      <c r="I634" s="94"/>
      <c r="J634" s="94"/>
      <c r="K634" s="34"/>
      <c r="L634" s="34"/>
      <c r="M634" s="8">
        <v>0</v>
      </c>
      <c r="N634" s="8">
        <f t="shared" si="195"/>
        <v>51025000</v>
      </c>
      <c r="O634" s="34"/>
      <c r="P634" s="34"/>
      <c r="Q634" s="34"/>
      <c r="R634" s="34"/>
      <c r="S634" s="34">
        <f t="shared" si="192"/>
        <v>51025000</v>
      </c>
      <c r="T634" s="4">
        <v>0</v>
      </c>
      <c r="U634" s="4">
        <v>0</v>
      </c>
      <c r="V634" s="34"/>
      <c r="W634" s="34"/>
      <c r="X634" s="34"/>
      <c r="Y634" s="34"/>
      <c r="Z634" s="34">
        <v>0</v>
      </c>
      <c r="AA634" s="8">
        <f>(N634*7.5%)/365*39</f>
        <v>408898.97260273976</v>
      </c>
      <c r="AB634" s="8">
        <f>N634*7.5/100</f>
        <v>3826875</v>
      </c>
      <c r="AC634" s="4">
        <f t="shared" si="191"/>
        <v>3826875</v>
      </c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</row>
    <row r="635" spans="1:61" s="95" customFormat="1" ht="27.6" customHeight="1" x14ac:dyDescent="0.2">
      <c r="A635" s="9">
        <v>623</v>
      </c>
      <c r="B635" s="58" t="s">
        <v>754</v>
      </c>
      <c r="C635" s="9" t="s">
        <v>345</v>
      </c>
      <c r="D635" s="71">
        <v>5419000</v>
      </c>
      <c r="E635" s="9"/>
      <c r="F635" s="9"/>
      <c r="G635" s="62"/>
      <c r="H635" s="54">
        <v>7.5</v>
      </c>
      <c r="I635" s="94"/>
      <c r="J635" s="94"/>
      <c r="K635" s="34"/>
      <c r="L635" s="34"/>
      <c r="M635" s="8">
        <v>0</v>
      </c>
      <c r="N635" s="8">
        <f t="shared" si="195"/>
        <v>5419000</v>
      </c>
      <c r="O635" s="34"/>
      <c r="P635" s="34"/>
      <c r="Q635" s="34"/>
      <c r="R635" s="34"/>
      <c r="S635" s="34">
        <f t="shared" si="192"/>
        <v>5419000</v>
      </c>
      <c r="T635" s="4">
        <v>0</v>
      </c>
      <c r="U635" s="4">
        <v>0</v>
      </c>
      <c r="V635" s="34"/>
      <c r="W635" s="34"/>
      <c r="X635" s="34"/>
      <c r="Y635" s="34"/>
      <c r="Z635" s="34">
        <v>0</v>
      </c>
      <c r="AA635" s="8">
        <f>(N635*7.5%)/365*6</f>
        <v>6680.9589041095896</v>
      </c>
      <c r="AB635" s="8">
        <f t="shared" ref="AB635" si="199">N635*7.5/100</f>
        <v>406425</v>
      </c>
      <c r="AC635" s="4">
        <f t="shared" si="191"/>
        <v>406425</v>
      </c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</row>
    <row r="636" spans="1:61" s="107" customFormat="1" ht="37.5" customHeight="1" x14ac:dyDescent="0.2">
      <c r="A636" s="114"/>
      <c r="B636" s="110"/>
      <c r="C636" s="105" t="s">
        <v>123</v>
      </c>
      <c r="D636" s="109">
        <f>SUM(D535:D635)</f>
        <v>6366946000</v>
      </c>
      <c r="E636" s="103"/>
      <c r="F636" s="103"/>
      <c r="G636" s="111"/>
      <c r="H636" s="112"/>
      <c r="I636" s="109"/>
      <c r="J636" s="109"/>
      <c r="K636" s="109">
        <f>SUM(K535:K584)</f>
        <v>1674045000</v>
      </c>
      <c r="L636" s="109">
        <f>SUM(L535:L615)</f>
        <v>3386579000</v>
      </c>
      <c r="M636" s="109">
        <f t="shared" ref="M636:AC636" si="200">SUM(M535:M635)</f>
        <v>5471725000</v>
      </c>
      <c r="N636" s="109">
        <f t="shared" si="200"/>
        <v>5354821200</v>
      </c>
      <c r="O636" s="109">
        <f t="shared" si="200"/>
        <v>0</v>
      </c>
      <c r="P636" s="109">
        <f t="shared" si="200"/>
        <v>0</v>
      </c>
      <c r="Q636" s="109">
        <f t="shared" si="200"/>
        <v>0</v>
      </c>
      <c r="R636" s="109">
        <f t="shared" si="200"/>
        <v>0</v>
      </c>
      <c r="S636" s="109">
        <f t="shared" si="200"/>
        <v>4394238600</v>
      </c>
      <c r="T636" s="109">
        <f t="shared" si="200"/>
        <v>677315800</v>
      </c>
      <c r="U636" s="109">
        <f t="shared" si="200"/>
        <v>960582600</v>
      </c>
      <c r="V636" s="109">
        <f t="shared" si="200"/>
        <v>0</v>
      </c>
      <c r="W636" s="109">
        <f t="shared" si="200"/>
        <v>0</v>
      </c>
      <c r="X636" s="109">
        <f t="shared" si="200"/>
        <v>134813840</v>
      </c>
      <c r="Y636" s="109">
        <f t="shared" si="200"/>
        <v>238536358</v>
      </c>
      <c r="Z636" s="109">
        <f t="shared" si="200"/>
        <v>1161306800</v>
      </c>
      <c r="AA636" s="109">
        <f t="shared" si="200"/>
        <v>334263069.98630142</v>
      </c>
      <c r="AB636" s="109">
        <f t="shared" si="200"/>
        <v>363479838</v>
      </c>
      <c r="AC636" s="109">
        <f t="shared" si="200"/>
        <v>301041969</v>
      </c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</row>
    <row r="637" spans="1:61" s="37" customFormat="1" ht="27.6" customHeight="1" x14ac:dyDescent="0.2">
      <c r="A637" s="9">
        <v>624</v>
      </c>
      <c r="B637" s="58" t="s">
        <v>393</v>
      </c>
      <c r="C637" s="9" t="s">
        <v>394</v>
      </c>
      <c r="D637" s="71">
        <v>216181000</v>
      </c>
      <c r="E637" s="9"/>
      <c r="F637" s="9"/>
      <c r="G637" s="62"/>
      <c r="H637" s="54">
        <v>6.5</v>
      </c>
      <c r="I637" s="94"/>
      <c r="J637" s="94"/>
      <c r="K637" s="34">
        <v>0</v>
      </c>
      <c r="L637" s="34">
        <f t="shared" ref="L637:L646" si="201">D637</f>
        <v>216181000</v>
      </c>
      <c r="M637" s="8">
        <f t="shared" ref="M637:M662" si="202">L637-R637</f>
        <v>216181000</v>
      </c>
      <c r="N637" s="8">
        <f>M637-U637</f>
        <v>172944800</v>
      </c>
      <c r="O637" s="34"/>
      <c r="P637" s="34"/>
      <c r="Q637" s="34">
        <v>0</v>
      </c>
      <c r="R637" s="34">
        <v>0</v>
      </c>
      <c r="S637" s="34">
        <f>N637-U637</f>
        <v>129708600</v>
      </c>
      <c r="T637" s="4">
        <f>U637</f>
        <v>43236200</v>
      </c>
      <c r="U637" s="4">
        <f>M637/5</f>
        <v>43236200</v>
      </c>
      <c r="V637" s="34"/>
      <c r="W637" s="34"/>
      <c r="X637" s="34">
        <v>8739043</v>
      </c>
      <c r="Y637" s="34">
        <v>14051765</v>
      </c>
      <c r="Z637" s="34">
        <f>U637</f>
        <v>43236200</v>
      </c>
      <c r="AA637" s="4">
        <f>M637*6.5/100</f>
        <v>14051765</v>
      </c>
      <c r="AB637" s="8">
        <f>N637*6.5/100</f>
        <v>11241412</v>
      </c>
      <c r="AC637" s="4">
        <f t="shared" ref="AC637:AC700" si="203">S637*H637%</f>
        <v>8431059</v>
      </c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</row>
    <row r="638" spans="1:61" s="37" customFormat="1" ht="27.6" customHeight="1" x14ac:dyDescent="0.2">
      <c r="A638" s="9">
        <v>625</v>
      </c>
      <c r="B638" s="58" t="s">
        <v>399</v>
      </c>
      <c r="C638" s="9" t="s">
        <v>394</v>
      </c>
      <c r="D638" s="71">
        <v>123737000</v>
      </c>
      <c r="E638" s="9"/>
      <c r="F638" s="9"/>
      <c r="G638" s="62"/>
      <c r="H638" s="54">
        <v>6.5</v>
      </c>
      <c r="I638" s="94"/>
      <c r="J638" s="94"/>
      <c r="K638" s="34">
        <v>0</v>
      </c>
      <c r="L638" s="34">
        <f t="shared" si="201"/>
        <v>123737000</v>
      </c>
      <c r="M638" s="8">
        <f t="shared" si="202"/>
        <v>123737000</v>
      </c>
      <c r="N638" s="8">
        <f t="shared" ref="N638:N664" si="204">M638-T638</f>
        <v>98989600</v>
      </c>
      <c r="O638" s="34"/>
      <c r="P638" s="34"/>
      <c r="Q638" s="34">
        <v>0</v>
      </c>
      <c r="R638" s="34">
        <v>0</v>
      </c>
      <c r="S638" s="34">
        <f t="shared" ref="S638:S697" si="205">N638-U638</f>
        <v>74242200</v>
      </c>
      <c r="T638" s="4">
        <f t="shared" ref="T638:T662" si="206">U638</f>
        <v>24747400</v>
      </c>
      <c r="U638" s="4">
        <f t="shared" ref="U638:U662" si="207">M638/5</f>
        <v>24747400</v>
      </c>
      <c r="V638" s="34"/>
      <c r="W638" s="34"/>
      <c r="X638" s="34">
        <v>3415480</v>
      </c>
      <c r="Y638" s="34">
        <v>8042905</v>
      </c>
      <c r="Z638" s="34">
        <f t="shared" ref="Z638:Z697" si="208">U638</f>
        <v>24747400</v>
      </c>
      <c r="AA638" s="4">
        <f t="shared" ref="AA638:AA662" si="209">M638*6.5/100</f>
        <v>8042905</v>
      </c>
      <c r="AB638" s="8">
        <f t="shared" ref="AB638:AB697" si="210">N638*6.5/100</f>
        <v>6434324</v>
      </c>
      <c r="AC638" s="4">
        <f t="shared" si="203"/>
        <v>4825743</v>
      </c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</row>
    <row r="639" spans="1:61" s="37" customFormat="1" ht="27.6" customHeight="1" x14ac:dyDescent="0.2">
      <c r="A639" s="9">
        <v>626</v>
      </c>
      <c r="B639" s="58" t="s">
        <v>400</v>
      </c>
      <c r="C639" s="9" t="s">
        <v>394</v>
      </c>
      <c r="D639" s="71">
        <v>475000000</v>
      </c>
      <c r="E639" s="9"/>
      <c r="F639" s="9"/>
      <c r="G639" s="62"/>
      <c r="H639" s="54">
        <v>6.5</v>
      </c>
      <c r="I639" s="94"/>
      <c r="J639" s="94"/>
      <c r="K639" s="34">
        <v>0</v>
      </c>
      <c r="L639" s="34">
        <f t="shared" si="201"/>
        <v>475000000</v>
      </c>
      <c r="M639" s="8">
        <f t="shared" si="202"/>
        <v>475000000</v>
      </c>
      <c r="N639" s="8">
        <f t="shared" si="204"/>
        <v>380000000</v>
      </c>
      <c r="O639" s="34"/>
      <c r="P639" s="34"/>
      <c r="Q639" s="34">
        <v>0</v>
      </c>
      <c r="R639" s="34">
        <v>0</v>
      </c>
      <c r="S639" s="34">
        <f t="shared" si="205"/>
        <v>285000000</v>
      </c>
      <c r="T639" s="4">
        <f t="shared" si="206"/>
        <v>95000000</v>
      </c>
      <c r="U639" s="4">
        <f t="shared" si="207"/>
        <v>95000000</v>
      </c>
      <c r="V639" s="34"/>
      <c r="W639" s="34"/>
      <c r="X639" s="34">
        <v>12688356</v>
      </c>
      <c r="Y639" s="34">
        <v>30875000</v>
      </c>
      <c r="Z639" s="34">
        <f t="shared" si="208"/>
        <v>95000000</v>
      </c>
      <c r="AA639" s="4">
        <f t="shared" si="209"/>
        <v>30875000</v>
      </c>
      <c r="AB639" s="8">
        <f t="shared" si="210"/>
        <v>24700000</v>
      </c>
      <c r="AC639" s="4">
        <f t="shared" si="203"/>
        <v>18525000</v>
      </c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</row>
    <row r="640" spans="1:61" s="37" customFormat="1" ht="27.6" customHeight="1" x14ac:dyDescent="0.2">
      <c r="A640" s="9">
        <v>627</v>
      </c>
      <c r="B640" s="58" t="s">
        <v>400</v>
      </c>
      <c r="C640" s="9" t="s">
        <v>394</v>
      </c>
      <c r="D640" s="71">
        <v>57198000</v>
      </c>
      <c r="E640" s="9"/>
      <c r="F640" s="9"/>
      <c r="G640" s="62"/>
      <c r="H640" s="54">
        <v>6.5</v>
      </c>
      <c r="I640" s="94"/>
      <c r="J640" s="94"/>
      <c r="K640" s="34">
        <v>0</v>
      </c>
      <c r="L640" s="34">
        <f t="shared" si="201"/>
        <v>57198000</v>
      </c>
      <c r="M640" s="8">
        <f t="shared" si="202"/>
        <v>57198000</v>
      </c>
      <c r="N640" s="8">
        <f t="shared" si="204"/>
        <v>45758400</v>
      </c>
      <c r="O640" s="34"/>
      <c r="P640" s="34"/>
      <c r="Q640" s="34">
        <v>0</v>
      </c>
      <c r="R640" s="34">
        <v>0</v>
      </c>
      <c r="S640" s="34">
        <f t="shared" si="205"/>
        <v>34318800</v>
      </c>
      <c r="T640" s="4">
        <f t="shared" si="206"/>
        <v>11439600</v>
      </c>
      <c r="U640" s="4">
        <f t="shared" si="207"/>
        <v>11439600</v>
      </c>
      <c r="V640" s="34"/>
      <c r="W640" s="34"/>
      <c r="X640" s="34">
        <v>1527892</v>
      </c>
      <c r="Y640" s="34">
        <v>3717870</v>
      </c>
      <c r="Z640" s="34">
        <f t="shared" si="208"/>
        <v>11439600</v>
      </c>
      <c r="AA640" s="4">
        <f t="shared" si="209"/>
        <v>3717870</v>
      </c>
      <c r="AB640" s="8">
        <f t="shared" si="210"/>
        <v>2974296</v>
      </c>
      <c r="AC640" s="4">
        <f t="shared" si="203"/>
        <v>2230722</v>
      </c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</row>
    <row r="641" spans="1:61" s="37" customFormat="1" ht="27.6" customHeight="1" x14ac:dyDescent="0.2">
      <c r="A641" s="9">
        <v>628</v>
      </c>
      <c r="B641" s="58" t="s">
        <v>403</v>
      </c>
      <c r="C641" s="9" t="s">
        <v>394</v>
      </c>
      <c r="D641" s="71">
        <v>22405000</v>
      </c>
      <c r="E641" s="9"/>
      <c r="F641" s="9"/>
      <c r="G641" s="62"/>
      <c r="H641" s="54">
        <v>6.5</v>
      </c>
      <c r="I641" s="94"/>
      <c r="J641" s="94"/>
      <c r="K641" s="34">
        <v>0</v>
      </c>
      <c r="L641" s="34">
        <f t="shared" si="201"/>
        <v>22405000</v>
      </c>
      <c r="M641" s="8">
        <f t="shared" si="202"/>
        <v>22405000</v>
      </c>
      <c r="N641" s="8">
        <f t="shared" si="204"/>
        <v>17924000</v>
      </c>
      <c r="O641" s="34"/>
      <c r="P641" s="34"/>
      <c r="Q641" s="34">
        <v>0</v>
      </c>
      <c r="R641" s="34">
        <v>0</v>
      </c>
      <c r="S641" s="34">
        <f t="shared" si="205"/>
        <v>13443000</v>
      </c>
      <c r="T641" s="4">
        <f t="shared" si="206"/>
        <v>4481000</v>
      </c>
      <c r="U641" s="4">
        <f t="shared" si="207"/>
        <v>4481000</v>
      </c>
      <c r="V641" s="34"/>
      <c r="W641" s="34"/>
      <c r="X641" s="34">
        <v>478792</v>
      </c>
      <c r="Y641" s="34">
        <v>1456325</v>
      </c>
      <c r="Z641" s="34">
        <f t="shared" si="208"/>
        <v>4481000</v>
      </c>
      <c r="AA641" s="4">
        <f t="shared" si="209"/>
        <v>1456325</v>
      </c>
      <c r="AB641" s="8">
        <f t="shared" si="210"/>
        <v>1165060</v>
      </c>
      <c r="AC641" s="4">
        <f t="shared" si="203"/>
        <v>873795</v>
      </c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</row>
    <row r="642" spans="1:61" s="37" customFormat="1" ht="27.6" customHeight="1" x14ac:dyDescent="0.2">
      <c r="A642" s="9">
        <v>629</v>
      </c>
      <c r="B642" s="58" t="s">
        <v>409</v>
      </c>
      <c r="C642" s="9" t="s">
        <v>394</v>
      </c>
      <c r="D642" s="71">
        <v>118466000</v>
      </c>
      <c r="E642" s="9"/>
      <c r="F642" s="9"/>
      <c r="G642" s="62"/>
      <c r="H642" s="54">
        <v>6.5</v>
      </c>
      <c r="I642" s="94"/>
      <c r="J642" s="94"/>
      <c r="K642" s="34">
        <v>0</v>
      </c>
      <c r="L642" s="34">
        <f t="shared" si="201"/>
        <v>118466000</v>
      </c>
      <c r="M642" s="8">
        <f t="shared" si="202"/>
        <v>118466000</v>
      </c>
      <c r="N642" s="8">
        <f t="shared" si="204"/>
        <v>94772800</v>
      </c>
      <c r="O642" s="34"/>
      <c r="P642" s="34"/>
      <c r="Q642" s="34">
        <v>0</v>
      </c>
      <c r="R642" s="34">
        <v>0</v>
      </c>
      <c r="S642" s="34">
        <f t="shared" si="205"/>
        <v>71079600</v>
      </c>
      <c r="T642" s="4">
        <f t="shared" si="206"/>
        <v>23693200</v>
      </c>
      <c r="U642" s="4">
        <f t="shared" si="207"/>
        <v>23693200</v>
      </c>
      <c r="V642" s="34"/>
      <c r="W642" s="34"/>
      <c r="X642" s="34">
        <v>500519</v>
      </c>
      <c r="Y642" s="34">
        <v>7700290</v>
      </c>
      <c r="Z642" s="34">
        <f t="shared" si="208"/>
        <v>23693200</v>
      </c>
      <c r="AA642" s="4">
        <f t="shared" si="209"/>
        <v>7700290</v>
      </c>
      <c r="AB642" s="8">
        <f t="shared" si="210"/>
        <v>6160232</v>
      </c>
      <c r="AC642" s="4">
        <f t="shared" si="203"/>
        <v>4620174</v>
      </c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</row>
    <row r="643" spans="1:61" s="37" customFormat="1" ht="27.6" customHeight="1" x14ac:dyDescent="0.2">
      <c r="A643" s="9">
        <v>630</v>
      </c>
      <c r="B643" s="58" t="s">
        <v>409</v>
      </c>
      <c r="C643" s="9" t="s">
        <v>394</v>
      </c>
      <c r="D643" s="71">
        <v>82990000</v>
      </c>
      <c r="E643" s="9"/>
      <c r="F643" s="9"/>
      <c r="G643" s="62"/>
      <c r="H643" s="54">
        <v>6.5</v>
      </c>
      <c r="I643" s="94"/>
      <c r="J643" s="94"/>
      <c r="K643" s="34">
        <v>0</v>
      </c>
      <c r="L643" s="34">
        <f t="shared" si="201"/>
        <v>82990000</v>
      </c>
      <c r="M643" s="8">
        <f t="shared" si="202"/>
        <v>82990000</v>
      </c>
      <c r="N643" s="8">
        <f t="shared" si="204"/>
        <v>66392000</v>
      </c>
      <c r="O643" s="34"/>
      <c r="P643" s="34"/>
      <c r="Q643" s="34">
        <v>0</v>
      </c>
      <c r="R643" s="34">
        <v>0</v>
      </c>
      <c r="S643" s="34">
        <f t="shared" si="205"/>
        <v>49794000</v>
      </c>
      <c r="T643" s="4">
        <f t="shared" si="206"/>
        <v>16598000</v>
      </c>
      <c r="U643" s="4">
        <f t="shared" si="207"/>
        <v>16598000</v>
      </c>
      <c r="V643" s="34"/>
      <c r="W643" s="34"/>
      <c r="X643" s="34">
        <v>1182323</v>
      </c>
      <c r="Y643" s="34">
        <v>5394350</v>
      </c>
      <c r="Z643" s="34">
        <f t="shared" si="208"/>
        <v>16598000</v>
      </c>
      <c r="AA643" s="4">
        <f t="shared" si="209"/>
        <v>5394350</v>
      </c>
      <c r="AB643" s="8">
        <f t="shared" si="210"/>
        <v>4315480</v>
      </c>
      <c r="AC643" s="4">
        <f t="shared" si="203"/>
        <v>3236610</v>
      </c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</row>
    <row r="644" spans="1:61" s="37" customFormat="1" ht="27.6" customHeight="1" x14ac:dyDescent="0.2">
      <c r="A644" s="9">
        <v>631</v>
      </c>
      <c r="B644" s="58" t="s">
        <v>414</v>
      </c>
      <c r="C644" s="9" t="s">
        <v>394</v>
      </c>
      <c r="D644" s="71">
        <v>193093000</v>
      </c>
      <c r="E644" s="9"/>
      <c r="F644" s="9"/>
      <c r="G644" s="62"/>
      <c r="H644" s="54">
        <v>6.5</v>
      </c>
      <c r="I644" s="94"/>
      <c r="J644" s="94"/>
      <c r="K644" s="34">
        <v>0</v>
      </c>
      <c r="L644" s="34">
        <f t="shared" si="201"/>
        <v>193093000</v>
      </c>
      <c r="M644" s="8">
        <f t="shared" si="202"/>
        <v>193093000</v>
      </c>
      <c r="N644" s="8">
        <f t="shared" si="204"/>
        <v>154474400</v>
      </c>
      <c r="O644" s="34"/>
      <c r="P644" s="34"/>
      <c r="Q644" s="34">
        <v>0</v>
      </c>
      <c r="R644" s="34">
        <v>0</v>
      </c>
      <c r="S644" s="34">
        <f t="shared" si="205"/>
        <v>115855800</v>
      </c>
      <c r="T644" s="4">
        <f t="shared" si="206"/>
        <v>38618600</v>
      </c>
      <c r="U644" s="4">
        <f t="shared" si="207"/>
        <v>38618600</v>
      </c>
      <c r="V644" s="34"/>
      <c r="W644" s="34"/>
      <c r="X644" s="34">
        <v>2407050</v>
      </c>
      <c r="Y644" s="34">
        <v>12551045</v>
      </c>
      <c r="Z644" s="34">
        <f t="shared" si="208"/>
        <v>38618600</v>
      </c>
      <c r="AA644" s="4">
        <f t="shared" si="209"/>
        <v>12551045</v>
      </c>
      <c r="AB644" s="8">
        <f t="shared" si="210"/>
        <v>10040836</v>
      </c>
      <c r="AC644" s="4">
        <f t="shared" si="203"/>
        <v>7530627</v>
      </c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</row>
    <row r="645" spans="1:61" s="37" customFormat="1" ht="27.6" customHeight="1" x14ac:dyDescent="0.2">
      <c r="A645" s="9">
        <v>632</v>
      </c>
      <c r="B645" s="58" t="s">
        <v>414</v>
      </c>
      <c r="C645" s="9" t="s">
        <v>394</v>
      </c>
      <c r="D645" s="71">
        <v>84606000</v>
      </c>
      <c r="E645" s="9"/>
      <c r="F645" s="9"/>
      <c r="G645" s="62"/>
      <c r="H645" s="54">
        <v>6.5</v>
      </c>
      <c r="I645" s="94"/>
      <c r="J645" s="94"/>
      <c r="K645" s="34">
        <v>0</v>
      </c>
      <c r="L645" s="34">
        <f t="shared" si="201"/>
        <v>84606000</v>
      </c>
      <c r="M645" s="8">
        <f t="shared" si="202"/>
        <v>84606000</v>
      </c>
      <c r="N645" s="8">
        <f t="shared" si="204"/>
        <v>67684800</v>
      </c>
      <c r="O645" s="34"/>
      <c r="P645" s="34"/>
      <c r="Q645" s="34">
        <v>0</v>
      </c>
      <c r="R645" s="34">
        <v>0</v>
      </c>
      <c r="S645" s="34">
        <f t="shared" si="205"/>
        <v>50763600</v>
      </c>
      <c r="T645" s="4">
        <f t="shared" si="206"/>
        <v>16921200</v>
      </c>
      <c r="U645" s="4">
        <f t="shared" si="207"/>
        <v>16921200</v>
      </c>
      <c r="V645" s="34"/>
      <c r="W645" s="34"/>
      <c r="X645" s="34">
        <v>1054678</v>
      </c>
      <c r="Y645" s="34">
        <v>5499390</v>
      </c>
      <c r="Z645" s="34">
        <f t="shared" si="208"/>
        <v>16921200</v>
      </c>
      <c r="AA645" s="4">
        <f t="shared" si="209"/>
        <v>5499390</v>
      </c>
      <c r="AB645" s="8">
        <f t="shared" si="210"/>
        <v>4399512</v>
      </c>
      <c r="AC645" s="4">
        <f t="shared" si="203"/>
        <v>3299634</v>
      </c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</row>
    <row r="646" spans="1:61" s="37" customFormat="1" ht="27.6" customHeight="1" x14ac:dyDescent="0.2">
      <c r="A646" s="9">
        <v>633</v>
      </c>
      <c r="B646" s="58" t="s">
        <v>417</v>
      </c>
      <c r="C646" s="9" t="s">
        <v>394</v>
      </c>
      <c r="D646" s="71">
        <v>255235000</v>
      </c>
      <c r="E646" s="9"/>
      <c r="F646" s="9"/>
      <c r="G646" s="62"/>
      <c r="H646" s="54">
        <v>6.5</v>
      </c>
      <c r="I646" s="94"/>
      <c r="J646" s="94"/>
      <c r="K646" s="34">
        <v>0</v>
      </c>
      <c r="L646" s="34">
        <f t="shared" si="201"/>
        <v>255235000</v>
      </c>
      <c r="M646" s="8">
        <f t="shared" si="202"/>
        <v>255235000</v>
      </c>
      <c r="N646" s="8">
        <f t="shared" si="204"/>
        <v>204188000</v>
      </c>
      <c r="O646" s="34"/>
      <c r="P646" s="34"/>
      <c r="Q646" s="34">
        <v>0</v>
      </c>
      <c r="R646" s="34">
        <v>0</v>
      </c>
      <c r="S646" s="34">
        <f t="shared" si="205"/>
        <v>153141000</v>
      </c>
      <c r="T646" s="4">
        <f t="shared" si="206"/>
        <v>51047000</v>
      </c>
      <c r="U646" s="4">
        <f t="shared" si="207"/>
        <v>51047000</v>
      </c>
      <c r="V646" s="34"/>
      <c r="W646" s="34"/>
      <c r="X646" s="34">
        <v>2681716</v>
      </c>
      <c r="Y646" s="34">
        <v>16590275</v>
      </c>
      <c r="Z646" s="34">
        <f t="shared" si="208"/>
        <v>51047000</v>
      </c>
      <c r="AA646" s="4">
        <f t="shared" si="209"/>
        <v>16590275</v>
      </c>
      <c r="AB646" s="8">
        <f t="shared" si="210"/>
        <v>13272220</v>
      </c>
      <c r="AC646" s="4">
        <f t="shared" si="203"/>
        <v>9954165</v>
      </c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</row>
    <row r="647" spans="1:61" s="37" customFormat="1" ht="27.6" customHeight="1" x14ac:dyDescent="0.2">
      <c r="A647" s="9">
        <v>634</v>
      </c>
      <c r="B647" s="58" t="s">
        <v>449</v>
      </c>
      <c r="C647" s="9" t="s">
        <v>394</v>
      </c>
      <c r="D647" s="71">
        <v>103465000</v>
      </c>
      <c r="E647" s="9"/>
      <c r="F647" s="9"/>
      <c r="G647" s="62"/>
      <c r="H647" s="54">
        <v>6.5</v>
      </c>
      <c r="I647" s="94"/>
      <c r="J647" s="94"/>
      <c r="K647" s="34">
        <v>0</v>
      </c>
      <c r="L647" s="34">
        <v>103465000</v>
      </c>
      <c r="M647" s="8">
        <f t="shared" si="202"/>
        <v>103465000</v>
      </c>
      <c r="N647" s="8">
        <f t="shared" si="204"/>
        <v>82772000</v>
      </c>
      <c r="O647" s="34"/>
      <c r="P647" s="34"/>
      <c r="Q647" s="34">
        <v>0</v>
      </c>
      <c r="R647" s="34">
        <v>0</v>
      </c>
      <c r="S647" s="34">
        <f t="shared" si="205"/>
        <v>62079000</v>
      </c>
      <c r="T647" s="4">
        <f t="shared" si="206"/>
        <v>20693000</v>
      </c>
      <c r="U647" s="4">
        <f t="shared" si="207"/>
        <v>20693000</v>
      </c>
      <c r="V647" s="34"/>
      <c r="W647" s="34"/>
      <c r="X647" s="34">
        <v>792287</v>
      </c>
      <c r="Y647" s="34">
        <v>6725225</v>
      </c>
      <c r="Z647" s="34">
        <f t="shared" si="208"/>
        <v>20693000</v>
      </c>
      <c r="AA647" s="4">
        <f t="shared" si="209"/>
        <v>6725225</v>
      </c>
      <c r="AB647" s="8">
        <f t="shared" si="210"/>
        <v>5380180</v>
      </c>
      <c r="AC647" s="4">
        <f t="shared" si="203"/>
        <v>4035135</v>
      </c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</row>
    <row r="648" spans="1:61" s="37" customFormat="1" ht="27.6" customHeight="1" x14ac:dyDescent="0.2">
      <c r="A648" s="9">
        <v>635</v>
      </c>
      <c r="B648" s="58" t="s">
        <v>451</v>
      </c>
      <c r="C648" s="9" t="s">
        <v>394</v>
      </c>
      <c r="D648" s="71">
        <v>69772000</v>
      </c>
      <c r="E648" s="9"/>
      <c r="F648" s="9"/>
      <c r="G648" s="62"/>
      <c r="H648" s="54">
        <v>6.5</v>
      </c>
      <c r="I648" s="94"/>
      <c r="J648" s="94"/>
      <c r="K648" s="34">
        <v>0</v>
      </c>
      <c r="L648" s="34">
        <v>69772000</v>
      </c>
      <c r="M648" s="8">
        <f t="shared" si="202"/>
        <v>69772000</v>
      </c>
      <c r="N648" s="8">
        <f t="shared" si="204"/>
        <v>55817600</v>
      </c>
      <c r="O648" s="34"/>
      <c r="P648" s="34"/>
      <c r="Q648" s="34">
        <v>0</v>
      </c>
      <c r="R648" s="34">
        <v>0</v>
      </c>
      <c r="S648" s="34">
        <f t="shared" si="205"/>
        <v>41863200</v>
      </c>
      <c r="T648" s="4">
        <f t="shared" si="206"/>
        <v>13954400</v>
      </c>
      <c r="U648" s="4">
        <f t="shared" si="207"/>
        <v>13954400</v>
      </c>
      <c r="V648" s="34"/>
      <c r="W648" s="34"/>
      <c r="X648" s="34">
        <v>397605</v>
      </c>
      <c r="Y648" s="34">
        <v>4535180</v>
      </c>
      <c r="Z648" s="34">
        <f t="shared" si="208"/>
        <v>13954400</v>
      </c>
      <c r="AA648" s="4">
        <f t="shared" si="209"/>
        <v>4535180</v>
      </c>
      <c r="AB648" s="8">
        <f t="shared" si="210"/>
        <v>3628144</v>
      </c>
      <c r="AC648" s="4">
        <f t="shared" si="203"/>
        <v>2721108</v>
      </c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</row>
    <row r="649" spans="1:61" s="37" customFormat="1" ht="27.6" customHeight="1" x14ac:dyDescent="0.2">
      <c r="A649" s="9">
        <v>636</v>
      </c>
      <c r="B649" s="58" t="s">
        <v>451</v>
      </c>
      <c r="C649" s="9" t="s">
        <v>394</v>
      </c>
      <c r="D649" s="71">
        <v>51700000</v>
      </c>
      <c r="E649" s="9"/>
      <c r="F649" s="9"/>
      <c r="G649" s="62"/>
      <c r="H649" s="54">
        <v>6.5</v>
      </c>
      <c r="I649" s="94"/>
      <c r="J649" s="94"/>
      <c r="K649" s="34">
        <v>0</v>
      </c>
      <c r="L649" s="34">
        <v>51700000</v>
      </c>
      <c r="M649" s="8">
        <f t="shared" si="202"/>
        <v>51700000</v>
      </c>
      <c r="N649" s="8">
        <f t="shared" si="204"/>
        <v>41360000</v>
      </c>
      <c r="O649" s="34"/>
      <c r="P649" s="34"/>
      <c r="Q649" s="34">
        <v>0</v>
      </c>
      <c r="R649" s="34">
        <v>0</v>
      </c>
      <c r="S649" s="34">
        <f t="shared" si="205"/>
        <v>31020000</v>
      </c>
      <c r="T649" s="4">
        <f t="shared" si="206"/>
        <v>10340000</v>
      </c>
      <c r="U649" s="4">
        <f t="shared" si="207"/>
        <v>10340000</v>
      </c>
      <c r="V649" s="34"/>
      <c r="W649" s="34"/>
      <c r="X649" s="34">
        <v>294619</v>
      </c>
      <c r="Y649" s="34">
        <v>3360500</v>
      </c>
      <c r="Z649" s="34">
        <f t="shared" si="208"/>
        <v>10340000</v>
      </c>
      <c r="AA649" s="4">
        <f t="shared" si="209"/>
        <v>3360500</v>
      </c>
      <c r="AB649" s="8">
        <f t="shared" si="210"/>
        <v>2688400</v>
      </c>
      <c r="AC649" s="4">
        <f t="shared" si="203"/>
        <v>2016300</v>
      </c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</row>
    <row r="650" spans="1:61" s="37" customFormat="1" ht="27.6" customHeight="1" x14ac:dyDescent="0.2">
      <c r="A650" s="9">
        <v>637</v>
      </c>
      <c r="B650" s="58" t="s">
        <v>380</v>
      </c>
      <c r="C650" s="9" t="s">
        <v>394</v>
      </c>
      <c r="D650" s="71">
        <v>149162000</v>
      </c>
      <c r="E650" s="9"/>
      <c r="F650" s="9"/>
      <c r="G650" s="62"/>
      <c r="H650" s="54">
        <v>6.5</v>
      </c>
      <c r="I650" s="94"/>
      <c r="J650" s="94"/>
      <c r="K650" s="34">
        <v>0</v>
      </c>
      <c r="L650" s="34">
        <v>149162000</v>
      </c>
      <c r="M650" s="8">
        <f t="shared" si="202"/>
        <v>149162000</v>
      </c>
      <c r="N650" s="8">
        <f t="shared" si="204"/>
        <v>119329600</v>
      </c>
      <c r="O650" s="34"/>
      <c r="P650" s="34"/>
      <c r="Q650" s="34">
        <v>0</v>
      </c>
      <c r="R650" s="34">
        <v>0</v>
      </c>
      <c r="S650" s="34">
        <f t="shared" si="205"/>
        <v>89497200</v>
      </c>
      <c r="T650" s="4">
        <f t="shared" si="206"/>
        <v>29832400</v>
      </c>
      <c r="U650" s="4">
        <f t="shared" si="207"/>
        <v>29832400</v>
      </c>
      <c r="V650" s="34"/>
      <c r="W650" s="34"/>
      <c r="X650" s="34">
        <v>451573</v>
      </c>
      <c r="Y650" s="34">
        <v>9695530</v>
      </c>
      <c r="Z650" s="34">
        <f t="shared" si="208"/>
        <v>29832400</v>
      </c>
      <c r="AA650" s="4">
        <f t="shared" si="209"/>
        <v>9695530</v>
      </c>
      <c r="AB650" s="8">
        <f t="shared" si="210"/>
        <v>7756424</v>
      </c>
      <c r="AC650" s="4">
        <f t="shared" si="203"/>
        <v>5817318</v>
      </c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</row>
    <row r="651" spans="1:61" s="37" customFormat="1" ht="27.6" customHeight="1" x14ac:dyDescent="0.2">
      <c r="A651" s="9">
        <v>638</v>
      </c>
      <c r="B651" s="58" t="s">
        <v>380</v>
      </c>
      <c r="C651" s="9" t="s">
        <v>394</v>
      </c>
      <c r="D651" s="71">
        <v>53920000</v>
      </c>
      <c r="E651" s="9"/>
      <c r="F651" s="9"/>
      <c r="G651" s="62"/>
      <c r="H651" s="54">
        <v>6.5</v>
      </c>
      <c r="I651" s="94"/>
      <c r="J651" s="94"/>
      <c r="K651" s="34">
        <v>0</v>
      </c>
      <c r="L651" s="34">
        <v>53920000</v>
      </c>
      <c r="M651" s="8">
        <f t="shared" si="202"/>
        <v>53920000</v>
      </c>
      <c r="N651" s="8">
        <f t="shared" si="204"/>
        <v>43136000</v>
      </c>
      <c r="O651" s="34"/>
      <c r="P651" s="34"/>
      <c r="Q651" s="34">
        <v>0</v>
      </c>
      <c r="R651" s="34">
        <v>0</v>
      </c>
      <c r="S651" s="34">
        <f t="shared" si="205"/>
        <v>32352000</v>
      </c>
      <c r="T651" s="4">
        <f t="shared" si="206"/>
        <v>10784000</v>
      </c>
      <c r="U651" s="4">
        <f t="shared" si="207"/>
        <v>10784000</v>
      </c>
      <c r="V651" s="34"/>
      <c r="W651" s="34"/>
      <c r="X651" s="34">
        <v>163237</v>
      </c>
      <c r="Y651" s="34">
        <v>3504800</v>
      </c>
      <c r="Z651" s="34">
        <f t="shared" si="208"/>
        <v>10784000</v>
      </c>
      <c r="AA651" s="4">
        <f t="shared" si="209"/>
        <v>3504800</v>
      </c>
      <c r="AB651" s="8">
        <f t="shared" si="210"/>
        <v>2803840</v>
      </c>
      <c r="AC651" s="4">
        <f t="shared" si="203"/>
        <v>2102880</v>
      </c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</row>
    <row r="652" spans="1:61" s="37" customFormat="1" ht="27.6" customHeight="1" x14ac:dyDescent="0.2">
      <c r="A652" s="9">
        <v>639</v>
      </c>
      <c r="B652" s="58" t="s">
        <v>456</v>
      </c>
      <c r="C652" s="9" t="s">
        <v>394</v>
      </c>
      <c r="D652" s="71">
        <v>19950000</v>
      </c>
      <c r="E652" s="9"/>
      <c r="F652" s="9"/>
      <c r="G652" s="62"/>
      <c r="H652" s="54">
        <v>6.5</v>
      </c>
      <c r="I652" s="94"/>
      <c r="J652" s="94"/>
      <c r="K652" s="34">
        <v>0</v>
      </c>
      <c r="L652" s="34">
        <v>19950000</v>
      </c>
      <c r="M652" s="8">
        <f t="shared" si="202"/>
        <v>19950000</v>
      </c>
      <c r="N652" s="8">
        <f t="shared" si="204"/>
        <v>15960000</v>
      </c>
      <c r="O652" s="34"/>
      <c r="P652" s="34"/>
      <c r="Q652" s="34">
        <v>0</v>
      </c>
      <c r="R652" s="34">
        <v>0</v>
      </c>
      <c r="S652" s="34">
        <f t="shared" si="205"/>
        <v>11970000</v>
      </c>
      <c r="T652" s="4">
        <f t="shared" si="206"/>
        <v>3990000</v>
      </c>
      <c r="U652" s="4">
        <f t="shared" si="207"/>
        <v>3990000</v>
      </c>
      <c r="V652" s="34"/>
      <c r="W652" s="34"/>
      <c r="X652" s="34">
        <v>39080</v>
      </c>
      <c r="Y652" s="34">
        <v>1296750</v>
      </c>
      <c r="Z652" s="34">
        <f t="shared" si="208"/>
        <v>3990000</v>
      </c>
      <c r="AA652" s="4">
        <f t="shared" si="209"/>
        <v>1296750</v>
      </c>
      <c r="AB652" s="8">
        <f t="shared" si="210"/>
        <v>1037400</v>
      </c>
      <c r="AC652" s="4">
        <f t="shared" si="203"/>
        <v>778050</v>
      </c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</row>
    <row r="653" spans="1:61" s="37" customFormat="1" ht="27.6" customHeight="1" x14ac:dyDescent="0.2">
      <c r="A653" s="9">
        <v>640</v>
      </c>
      <c r="B653" s="58" t="s">
        <v>456</v>
      </c>
      <c r="C653" s="9" t="s">
        <v>394</v>
      </c>
      <c r="D653" s="71">
        <v>6415000</v>
      </c>
      <c r="E653" s="9"/>
      <c r="F653" s="9"/>
      <c r="G653" s="62"/>
      <c r="H653" s="54">
        <v>6.5</v>
      </c>
      <c r="I653" s="94"/>
      <c r="J653" s="94"/>
      <c r="K653" s="34">
        <v>0</v>
      </c>
      <c r="L653" s="34">
        <v>6415000</v>
      </c>
      <c r="M653" s="8">
        <f t="shared" si="202"/>
        <v>6415000</v>
      </c>
      <c r="N653" s="8">
        <f t="shared" si="204"/>
        <v>5132000</v>
      </c>
      <c r="O653" s="34"/>
      <c r="P653" s="34"/>
      <c r="Q653" s="34">
        <v>0</v>
      </c>
      <c r="R653" s="34">
        <v>0</v>
      </c>
      <c r="S653" s="34">
        <f t="shared" si="205"/>
        <v>3849000</v>
      </c>
      <c r="T653" s="4">
        <f t="shared" si="206"/>
        <v>1283000</v>
      </c>
      <c r="U653" s="4">
        <f t="shared" si="207"/>
        <v>1283000</v>
      </c>
      <c r="V653" s="34"/>
      <c r="W653" s="34"/>
      <c r="X653" s="34">
        <v>12566</v>
      </c>
      <c r="Y653" s="34">
        <v>416975</v>
      </c>
      <c r="Z653" s="34">
        <f t="shared" si="208"/>
        <v>1283000</v>
      </c>
      <c r="AA653" s="4">
        <f t="shared" si="209"/>
        <v>416975</v>
      </c>
      <c r="AB653" s="8">
        <f t="shared" si="210"/>
        <v>333580</v>
      </c>
      <c r="AC653" s="4">
        <f t="shared" si="203"/>
        <v>250185</v>
      </c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</row>
    <row r="654" spans="1:61" s="37" customFormat="1" ht="27.6" customHeight="1" x14ac:dyDescent="0.2">
      <c r="A654" s="9">
        <v>641</v>
      </c>
      <c r="B654" s="58" t="s">
        <v>456</v>
      </c>
      <c r="C654" s="9" t="s">
        <v>394</v>
      </c>
      <c r="D654" s="71">
        <v>42180000</v>
      </c>
      <c r="E654" s="9"/>
      <c r="F654" s="9"/>
      <c r="G654" s="62"/>
      <c r="H654" s="54">
        <v>6.5</v>
      </c>
      <c r="I654" s="94"/>
      <c r="J654" s="94"/>
      <c r="K654" s="34">
        <v>0</v>
      </c>
      <c r="L654" s="34">
        <v>42180000</v>
      </c>
      <c r="M654" s="8">
        <f t="shared" si="202"/>
        <v>42180000</v>
      </c>
      <c r="N654" s="8">
        <f t="shared" si="204"/>
        <v>33744000</v>
      </c>
      <c r="O654" s="34"/>
      <c r="P654" s="34"/>
      <c r="Q654" s="34">
        <v>0</v>
      </c>
      <c r="R654" s="34">
        <v>0</v>
      </c>
      <c r="S654" s="34">
        <f t="shared" si="205"/>
        <v>25308000</v>
      </c>
      <c r="T654" s="4">
        <f t="shared" si="206"/>
        <v>8436000</v>
      </c>
      <c r="U654" s="4">
        <f t="shared" si="207"/>
        <v>8436000</v>
      </c>
      <c r="V654" s="34"/>
      <c r="W654" s="34"/>
      <c r="X654" s="34">
        <v>82627</v>
      </c>
      <c r="Y654" s="34">
        <v>2741700</v>
      </c>
      <c r="Z654" s="34">
        <f t="shared" si="208"/>
        <v>8436000</v>
      </c>
      <c r="AA654" s="4">
        <f t="shared" si="209"/>
        <v>2741700</v>
      </c>
      <c r="AB654" s="8">
        <f t="shared" si="210"/>
        <v>2193360</v>
      </c>
      <c r="AC654" s="4">
        <f t="shared" si="203"/>
        <v>1645020</v>
      </c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</row>
    <row r="655" spans="1:61" s="37" customFormat="1" ht="27.6" customHeight="1" x14ac:dyDescent="0.2">
      <c r="A655" s="9">
        <v>642</v>
      </c>
      <c r="B655" s="58" t="s">
        <v>456</v>
      </c>
      <c r="C655" s="9" t="s">
        <v>394</v>
      </c>
      <c r="D655" s="71">
        <v>36961000</v>
      </c>
      <c r="E655" s="9"/>
      <c r="F655" s="9"/>
      <c r="G655" s="62"/>
      <c r="H655" s="54">
        <v>6.5</v>
      </c>
      <c r="I655" s="94"/>
      <c r="J655" s="94"/>
      <c r="K655" s="34">
        <v>0</v>
      </c>
      <c r="L655" s="34">
        <v>36961000</v>
      </c>
      <c r="M655" s="8">
        <f t="shared" si="202"/>
        <v>36961000</v>
      </c>
      <c r="N655" s="8">
        <f t="shared" si="204"/>
        <v>29568800</v>
      </c>
      <c r="O655" s="34"/>
      <c r="P655" s="34"/>
      <c r="Q655" s="34">
        <v>0</v>
      </c>
      <c r="R655" s="34">
        <v>0</v>
      </c>
      <c r="S655" s="34">
        <f t="shared" si="205"/>
        <v>22176600</v>
      </c>
      <c r="T655" s="4">
        <f t="shared" si="206"/>
        <v>7392200</v>
      </c>
      <c r="U655" s="4">
        <f t="shared" si="207"/>
        <v>7392200</v>
      </c>
      <c r="V655" s="34"/>
      <c r="W655" s="34"/>
      <c r="X655" s="34">
        <v>72403</v>
      </c>
      <c r="Y655" s="34">
        <v>2402465</v>
      </c>
      <c r="Z655" s="34">
        <f t="shared" si="208"/>
        <v>7392200</v>
      </c>
      <c r="AA655" s="4">
        <f t="shared" si="209"/>
        <v>2402465</v>
      </c>
      <c r="AB655" s="8">
        <f t="shared" si="210"/>
        <v>1921972</v>
      </c>
      <c r="AC655" s="4">
        <f t="shared" si="203"/>
        <v>1441479</v>
      </c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</row>
    <row r="656" spans="1:61" s="37" customFormat="1" ht="27.6" customHeight="1" x14ac:dyDescent="0.2">
      <c r="A656" s="9">
        <v>643</v>
      </c>
      <c r="B656" s="58" t="s">
        <v>457</v>
      </c>
      <c r="C656" s="9" t="s">
        <v>394</v>
      </c>
      <c r="D656" s="71">
        <v>196707000</v>
      </c>
      <c r="E656" s="9"/>
      <c r="F656" s="9"/>
      <c r="G656" s="62"/>
      <c r="H656" s="54">
        <v>6.5</v>
      </c>
      <c r="I656" s="94"/>
      <c r="J656" s="94"/>
      <c r="K656" s="34">
        <v>0</v>
      </c>
      <c r="L656" s="34">
        <v>196707000</v>
      </c>
      <c r="M656" s="8">
        <f t="shared" si="202"/>
        <v>196707000</v>
      </c>
      <c r="N656" s="8">
        <f t="shared" si="204"/>
        <v>157365600</v>
      </c>
      <c r="O656" s="34"/>
      <c r="P656" s="34"/>
      <c r="Q656" s="34">
        <v>0</v>
      </c>
      <c r="R656" s="34">
        <v>0</v>
      </c>
      <c r="S656" s="34">
        <f t="shared" si="205"/>
        <v>118024200</v>
      </c>
      <c r="T656" s="4">
        <f t="shared" si="206"/>
        <v>39341400</v>
      </c>
      <c r="U656" s="4">
        <f t="shared" si="207"/>
        <v>39341400</v>
      </c>
      <c r="V656" s="34"/>
      <c r="W656" s="34"/>
      <c r="X656" s="34">
        <v>280240</v>
      </c>
      <c r="Y656" s="34">
        <v>12785955</v>
      </c>
      <c r="Z656" s="34">
        <f t="shared" si="208"/>
        <v>39341400</v>
      </c>
      <c r="AA656" s="4">
        <f t="shared" si="209"/>
        <v>12785955</v>
      </c>
      <c r="AB656" s="8">
        <f t="shared" si="210"/>
        <v>10228764</v>
      </c>
      <c r="AC656" s="4">
        <f t="shared" si="203"/>
        <v>7671573</v>
      </c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</row>
    <row r="657" spans="1:61" s="37" customFormat="1" ht="27.6" customHeight="1" x14ac:dyDescent="0.2">
      <c r="A657" s="9">
        <v>644</v>
      </c>
      <c r="B657" s="58" t="s">
        <v>457</v>
      </c>
      <c r="C657" s="9" t="s">
        <v>394</v>
      </c>
      <c r="D657" s="71">
        <v>78606000</v>
      </c>
      <c r="E657" s="9"/>
      <c r="F657" s="9"/>
      <c r="G657" s="62"/>
      <c r="H657" s="54">
        <v>6.5</v>
      </c>
      <c r="I657" s="94"/>
      <c r="J657" s="94"/>
      <c r="K657" s="34">
        <v>0</v>
      </c>
      <c r="L657" s="34">
        <v>78606000</v>
      </c>
      <c r="M657" s="8">
        <f t="shared" si="202"/>
        <v>78606000</v>
      </c>
      <c r="N657" s="8">
        <f t="shared" si="204"/>
        <v>62884800</v>
      </c>
      <c r="O657" s="34"/>
      <c r="P657" s="34"/>
      <c r="Q657" s="34">
        <v>0</v>
      </c>
      <c r="R657" s="34">
        <v>0</v>
      </c>
      <c r="S657" s="34">
        <f t="shared" si="205"/>
        <v>47163600</v>
      </c>
      <c r="T657" s="4">
        <f t="shared" si="206"/>
        <v>15721200</v>
      </c>
      <c r="U657" s="4">
        <f t="shared" si="207"/>
        <v>15721200</v>
      </c>
      <c r="V657" s="34"/>
      <c r="W657" s="34"/>
      <c r="X657" s="34">
        <v>111987</v>
      </c>
      <c r="Y657" s="34">
        <v>5109390</v>
      </c>
      <c r="Z657" s="34">
        <f t="shared" si="208"/>
        <v>15721200</v>
      </c>
      <c r="AA657" s="4">
        <f t="shared" si="209"/>
        <v>5109390</v>
      </c>
      <c r="AB657" s="8">
        <f t="shared" si="210"/>
        <v>4087512</v>
      </c>
      <c r="AC657" s="4">
        <f t="shared" si="203"/>
        <v>3065634</v>
      </c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</row>
    <row r="658" spans="1:61" s="37" customFormat="1" ht="27.6" customHeight="1" x14ac:dyDescent="0.2">
      <c r="A658" s="9">
        <v>645</v>
      </c>
      <c r="B658" s="58" t="s">
        <v>459</v>
      </c>
      <c r="C658" s="9" t="s">
        <v>394</v>
      </c>
      <c r="D658" s="71">
        <v>2226000</v>
      </c>
      <c r="E658" s="9"/>
      <c r="F658" s="9"/>
      <c r="G658" s="62"/>
      <c r="H658" s="54">
        <v>6.5</v>
      </c>
      <c r="I658" s="94"/>
      <c r="J658" s="94"/>
      <c r="K658" s="34">
        <v>0</v>
      </c>
      <c r="L658" s="34">
        <v>2226000</v>
      </c>
      <c r="M658" s="8">
        <f t="shared" si="202"/>
        <v>2226000</v>
      </c>
      <c r="N658" s="8">
        <f t="shared" si="204"/>
        <v>1780800</v>
      </c>
      <c r="O658" s="34"/>
      <c r="P658" s="34"/>
      <c r="Q658" s="34">
        <v>0</v>
      </c>
      <c r="R658" s="34">
        <v>0</v>
      </c>
      <c r="S658" s="34">
        <f t="shared" si="205"/>
        <v>1335600</v>
      </c>
      <c r="T658" s="4">
        <f t="shared" si="206"/>
        <v>445200</v>
      </c>
      <c r="U658" s="4">
        <f t="shared" si="207"/>
        <v>445200</v>
      </c>
      <c r="V658" s="34"/>
      <c r="W658" s="34"/>
      <c r="X658" s="34">
        <v>1586</v>
      </c>
      <c r="Y658" s="34">
        <v>144690</v>
      </c>
      <c r="Z658" s="34">
        <f t="shared" si="208"/>
        <v>445200</v>
      </c>
      <c r="AA658" s="4">
        <f t="shared" si="209"/>
        <v>144690</v>
      </c>
      <c r="AB658" s="8">
        <f t="shared" si="210"/>
        <v>115752</v>
      </c>
      <c r="AC658" s="4">
        <f t="shared" si="203"/>
        <v>86814</v>
      </c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</row>
    <row r="659" spans="1:61" s="37" customFormat="1" ht="27.6" customHeight="1" x14ac:dyDescent="0.2">
      <c r="A659" s="9">
        <v>646</v>
      </c>
      <c r="B659" s="58" t="s">
        <v>460</v>
      </c>
      <c r="C659" s="9" t="s">
        <v>394</v>
      </c>
      <c r="D659" s="71">
        <v>136803000</v>
      </c>
      <c r="E659" s="9"/>
      <c r="F659" s="9"/>
      <c r="G659" s="62"/>
      <c r="H659" s="54">
        <v>6.5</v>
      </c>
      <c r="I659" s="94"/>
      <c r="J659" s="94"/>
      <c r="K659" s="34">
        <v>0</v>
      </c>
      <c r="L659" s="34">
        <v>136803000</v>
      </c>
      <c r="M659" s="8">
        <f t="shared" si="202"/>
        <v>136803000</v>
      </c>
      <c r="N659" s="8">
        <f t="shared" si="204"/>
        <v>109442400</v>
      </c>
      <c r="O659" s="34"/>
      <c r="P659" s="34"/>
      <c r="Q659" s="34">
        <v>0</v>
      </c>
      <c r="R659" s="34">
        <v>0</v>
      </c>
      <c r="S659" s="34">
        <f t="shared" si="205"/>
        <v>82081800</v>
      </c>
      <c r="T659" s="4">
        <f t="shared" si="206"/>
        <v>27360600</v>
      </c>
      <c r="U659" s="4">
        <f t="shared" si="207"/>
        <v>27360600</v>
      </c>
      <c r="V659" s="34"/>
      <c r="W659" s="34"/>
      <c r="X659" s="34">
        <v>73087</v>
      </c>
      <c r="Y659" s="34">
        <v>8892195</v>
      </c>
      <c r="Z659" s="34">
        <f t="shared" si="208"/>
        <v>27360600</v>
      </c>
      <c r="AA659" s="4">
        <f t="shared" si="209"/>
        <v>8892195</v>
      </c>
      <c r="AB659" s="8">
        <f t="shared" si="210"/>
        <v>7113756</v>
      </c>
      <c r="AC659" s="4">
        <f t="shared" si="203"/>
        <v>5335317</v>
      </c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</row>
    <row r="660" spans="1:61" s="37" customFormat="1" ht="27.6" customHeight="1" x14ac:dyDescent="0.2">
      <c r="A660" s="9">
        <v>647</v>
      </c>
      <c r="B660" s="58" t="s">
        <v>462</v>
      </c>
      <c r="C660" s="9" t="s">
        <v>394</v>
      </c>
      <c r="D660" s="71">
        <v>17644000</v>
      </c>
      <c r="E660" s="9"/>
      <c r="F660" s="9"/>
      <c r="G660" s="62"/>
      <c r="H660" s="54">
        <v>6.5</v>
      </c>
      <c r="I660" s="94"/>
      <c r="J660" s="94"/>
      <c r="K660" s="34">
        <v>0</v>
      </c>
      <c r="L660" s="34">
        <v>17644000</v>
      </c>
      <c r="M660" s="8">
        <f t="shared" si="202"/>
        <v>17644000</v>
      </c>
      <c r="N660" s="8">
        <f t="shared" si="204"/>
        <v>14115200</v>
      </c>
      <c r="O660" s="34"/>
      <c r="P660" s="34"/>
      <c r="Q660" s="34">
        <v>0</v>
      </c>
      <c r="R660" s="34">
        <v>0</v>
      </c>
      <c r="S660" s="34">
        <f t="shared" si="205"/>
        <v>10586400</v>
      </c>
      <c r="T660" s="4">
        <f t="shared" si="206"/>
        <v>3528800</v>
      </c>
      <c r="U660" s="4">
        <f t="shared" si="207"/>
        <v>3528800</v>
      </c>
      <c r="V660" s="34"/>
      <c r="W660" s="34"/>
      <c r="X660" s="34">
        <v>3142</v>
      </c>
      <c r="Y660" s="34">
        <v>1146860</v>
      </c>
      <c r="Z660" s="34">
        <f t="shared" si="208"/>
        <v>3528800</v>
      </c>
      <c r="AA660" s="4">
        <f t="shared" si="209"/>
        <v>1146860</v>
      </c>
      <c r="AB660" s="8">
        <f t="shared" si="210"/>
        <v>917488</v>
      </c>
      <c r="AC660" s="4">
        <f t="shared" si="203"/>
        <v>688116</v>
      </c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</row>
    <row r="661" spans="1:61" s="37" customFormat="1" ht="27.6" customHeight="1" x14ac:dyDescent="0.2">
      <c r="A661" s="9">
        <v>648</v>
      </c>
      <c r="B661" s="58" t="s">
        <v>462</v>
      </c>
      <c r="C661" s="9" t="s">
        <v>394</v>
      </c>
      <c r="D661" s="71">
        <v>34347000</v>
      </c>
      <c r="E661" s="9"/>
      <c r="F661" s="9"/>
      <c r="G661" s="62"/>
      <c r="H661" s="54">
        <v>6.5</v>
      </c>
      <c r="I661" s="94"/>
      <c r="J661" s="94"/>
      <c r="K661" s="34">
        <v>0</v>
      </c>
      <c r="L661" s="34">
        <v>34347000</v>
      </c>
      <c r="M661" s="8">
        <f t="shared" si="202"/>
        <v>34347000</v>
      </c>
      <c r="N661" s="8">
        <f t="shared" si="204"/>
        <v>27477600</v>
      </c>
      <c r="O661" s="34"/>
      <c r="P661" s="34"/>
      <c r="Q661" s="34">
        <v>0</v>
      </c>
      <c r="R661" s="34">
        <v>0</v>
      </c>
      <c r="S661" s="34">
        <f t="shared" si="205"/>
        <v>20608200</v>
      </c>
      <c r="T661" s="4">
        <f t="shared" si="206"/>
        <v>6869400</v>
      </c>
      <c r="U661" s="4">
        <f t="shared" si="207"/>
        <v>6869400</v>
      </c>
      <c r="V661" s="34"/>
      <c r="W661" s="34"/>
      <c r="X661" s="34">
        <v>6117</v>
      </c>
      <c r="Y661" s="34">
        <v>2232555</v>
      </c>
      <c r="Z661" s="34">
        <f t="shared" si="208"/>
        <v>6869400</v>
      </c>
      <c r="AA661" s="4">
        <f t="shared" si="209"/>
        <v>2232555</v>
      </c>
      <c r="AB661" s="8">
        <f t="shared" si="210"/>
        <v>1786044</v>
      </c>
      <c r="AC661" s="4">
        <f t="shared" si="203"/>
        <v>1339533</v>
      </c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</row>
    <row r="662" spans="1:61" s="37" customFormat="1" ht="27.6" customHeight="1" x14ac:dyDescent="0.2">
      <c r="A662" s="9">
        <v>649</v>
      </c>
      <c r="B662" s="58" t="s">
        <v>462</v>
      </c>
      <c r="C662" s="9" t="s">
        <v>394</v>
      </c>
      <c r="D662" s="71">
        <v>20579000</v>
      </c>
      <c r="E662" s="9"/>
      <c r="F662" s="9"/>
      <c r="G662" s="62"/>
      <c r="H662" s="54">
        <v>6.5</v>
      </c>
      <c r="I662" s="94"/>
      <c r="J662" s="94"/>
      <c r="K662" s="34">
        <v>0</v>
      </c>
      <c r="L662" s="34">
        <v>20579000</v>
      </c>
      <c r="M662" s="8">
        <f t="shared" si="202"/>
        <v>20579000</v>
      </c>
      <c r="N662" s="8">
        <f t="shared" si="204"/>
        <v>16463200</v>
      </c>
      <c r="O662" s="34"/>
      <c r="P662" s="34"/>
      <c r="Q662" s="34">
        <v>0</v>
      </c>
      <c r="R662" s="34">
        <v>0</v>
      </c>
      <c r="S662" s="34">
        <f t="shared" si="205"/>
        <v>12347400</v>
      </c>
      <c r="T662" s="4">
        <f t="shared" si="206"/>
        <v>4115800</v>
      </c>
      <c r="U662" s="4">
        <f t="shared" si="207"/>
        <v>4115800</v>
      </c>
      <c r="V662" s="34"/>
      <c r="W662" s="34"/>
      <c r="X662" s="34">
        <v>3665</v>
      </c>
      <c r="Y662" s="34">
        <v>1337635</v>
      </c>
      <c r="Z662" s="34">
        <f t="shared" si="208"/>
        <v>4115800</v>
      </c>
      <c r="AA662" s="4">
        <f t="shared" si="209"/>
        <v>1337635</v>
      </c>
      <c r="AB662" s="8">
        <f t="shared" si="210"/>
        <v>1070108</v>
      </c>
      <c r="AC662" s="4">
        <f t="shared" si="203"/>
        <v>802581</v>
      </c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</row>
    <row r="663" spans="1:61" s="37" customFormat="1" ht="27.6" customHeight="1" x14ac:dyDescent="0.2">
      <c r="A663" s="9">
        <v>650</v>
      </c>
      <c r="B663" s="58" t="s">
        <v>464</v>
      </c>
      <c r="C663" s="9" t="s">
        <v>394</v>
      </c>
      <c r="D663" s="71">
        <v>27647000</v>
      </c>
      <c r="E663" s="9"/>
      <c r="F663" s="9"/>
      <c r="G663" s="62"/>
      <c r="H663" s="54">
        <v>6.5</v>
      </c>
      <c r="I663" s="94"/>
      <c r="J663" s="94"/>
      <c r="K663" s="34">
        <v>0</v>
      </c>
      <c r="L663" s="34">
        <v>0</v>
      </c>
      <c r="M663" s="8">
        <v>27647000</v>
      </c>
      <c r="N663" s="8">
        <f t="shared" si="204"/>
        <v>27647000</v>
      </c>
      <c r="O663" s="34"/>
      <c r="P663" s="34"/>
      <c r="Q663" s="34"/>
      <c r="R663" s="34">
        <v>0</v>
      </c>
      <c r="S663" s="34">
        <f t="shared" si="205"/>
        <v>22117600</v>
      </c>
      <c r="T663" s="4">
        <v>0</v>
      </c>
      <c r="U663" s="4">
        <f>D663/5</f>
        <v>5529400</v>
      </c>
      <c r="V663" s="34"/>
      <c r="W663" s="34"/>
      <c r="X663" s="34"/>
      <c r="Y663" s="34">
        <v>1767514</v>
      </c>
      <c r="Z663" s="34">
        <f t="shared" si="208"/>
        <v>5529400</v>
      </c>
      <c r="AA663" s="4">
        <v>1797055</v>
      </c>
      <c r="AB663" s="8">
        <f t="shared" si="210"/>
        <v>1797055</v>
      </c>
      <c r="AC663" s="4">
        <f t="shared" si="203"/>
        <v>1437644</v>
      </c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</row>
    <row r="664" spans="1:61" s="37" customFormat="1" ht="27.6" customHeight="1" x14ac:dyDescent="0.2">
      <c r="A664" s="9">
        <v>651</v>
      </c>
      <c r="B664" s="58" t="s">
        <v>474</v>
      </c>
      <c r="C664" s="9" t="s">
        <v>394</v>
      </c>
      <c r="D664" s="71">
        <v>49051000</v>
      </c>
      <c r="E664" s="9"/>
      <c r="F664" s="9"/>
      <c r="G664" s="62"/>
      <c r="H664" s="54">
        <v>6.5</v>
      </c>
      <c r="I664" s="94"/>
      <c r="J664" s="94"/>
      <c r="K664" s="34"/>
      <c r="L664" s="34">
        <v>0</v>
      </c>
      <c r="M664" s="8">
        <v>49051000</v>
      </c>
      <c r="N664" s="8">
        <f t="shared" si="204"/>
        <v>49051000</v>
      </c>
      <c r="O664" s="34"/>
      <c r="P664" s="34"/>
      <c r="Q664" s="34"/>
      <c r="R664" s="34">
        <v>0</v>
      </c>
      <c r="S664" s="34">
        <f t="shared" si="205"/>
        <v>39240800</v>
      </c>
      <c r="T664" s="4">
        <v>0</v>
      </c>
      <c r="U664" s="4">
        <f t="shared" ref="U664:U697" si="211">D664/5</f>
        <v>9810200</v>
      </c>
      <c r="V664" s="34"/>
      <c r="W664" s="34"/>
      <c r="X664" s="34"/>
      <c r="Y664" s="34">
        <v>1930459</v>
      </c>
      <c r="Z664" s="34">
        <f t="shared" si="208"/>
        <v>9810200</v>
      </c>
      <c r="AA664" s="4">
        <v>3188315</v>
      </c>
      <c r="AB664" s="8">
        <f t="shared" si="210"/>
        <v>3188315</v>
      </c>
      <c r="AC664" s="4">
        <f t="shared" si="203"/>
        <v>2550652</v>
      </c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</row>
    <row r="665" spans="1:61" s="37" customFormat="1" ht="27.6" customHeight="1" x14ac:dyDescent="0.2">
      <c r="A665" s="9">
        <v>652</v>
      </c>
      <c r="B665" s="58" t="s">
        <v>474</v>
      </c>
      <c r="C665" s="9" t="s">
        <v>394</v>
      </c>
      <c r="D665" s="71">
        <v>22229000</v>
      </c>
      <c r="E665" s="9"/>
      <c r="F665" s="9"/>
      <c r="G665" s="62"/>
      <c r="H665" s="54">
        <v>6.5</v>
      </c>
      <c r="I665" s="94"/>
      <c r="J665" s="94"/>
      <c r="K665" s="34"/>
      <c r="L665" s="34">
        <v>0</v>
      </c>
      <c r="M665" s="8">
        <v>22229000</v>
      </c>
      <c r="N665" s="8">
        <f>M665</f>
        <v>22229000</v>
      </c>
      <c r="O665" s="34"/>
      <c r="P665" s="34"/>
      <c r="Q665" s="34"/>
      <c r="R665" s="34">
        <v>0</v>
      </c>
      <c r="S665" s="34">
        <f t="shared" si="205"/>
        <v>17783200</v>
      </c>
      <c r="T665" s="4">
        <v>0</v>
      </c>
      <c r="U665" s="4">
        <f t="shared" si="211"/>
        <v>4445800</v>
      </c>
      <c r="V665" s="34"/>
      <c r="W665" s="34"/>
      <c r="X665" s="34"/>
      <c r="Y665" s="34">
        <v>874848</v>
      </c>
      <c r="Z665" s="34">
        <f t="shared" si="208"/>
        <v>4445800</v>
      </c>
      <c r="AA665" s="4">
        <v>1444885</v>
      </c>
      <c r="AB665" s="8">
        <f t="shared" si="210"/>
        <v>1444885</v>
      </c>
      <c r="AC665" s="4">
        <f t="shared" si="203"/>
        <v>1155908</v>
      </c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</row>
    <row r="666" spans="1:61" s="37" customFormat="1" ht="27.6" customHeight="1" x14ac:dyDescent="0.2">
      <c r="A666" s="9">
        <v>653</v>
      </c>
      <c r="B666" s="58" t="s">
        <v>475</v>
      </c>
      <c r="C666" s="9" t="s">
        <v>394</v>
      </c>
      <c r="D666" s="71">
        <v>39165000</v>
      </c>
      <c r="E666" s="9"/>
      <c r="F666" s="9"/>
      <c r="G666" s="62"/>
      <c r="H666" s="54">
        <v>6.5</v>
      </c>
      <c r="I666" s="94"/>
      <c r="J666" s="94"/>
      <c r="K666" s="34"/>
      <c r="L666" s="34">
        <v>0</v>
      </c>
      <c r="M666" s="8">
        <v>39165000</v>
      </c>
      <c r="N666" s="8">
        <f t="shared" ref="N666:N697" si="212">M666-T666</f>
        <v>39165000</v>
      </c>
      <c r="O666" s="34"/>
      <c r="P666" s="34"/>
      <c r="Q666" s="34"/>
      <c r="R666" s="34">
        <v>0</v>
      </c>
      <c r="S666" s="34">
        <f t="shared" si="205"/>
        <v>31332000</v>
      </c>
      <c r="T666" s="4">
        <v>0</v>
      </c>
      <c r="U666" s="4">
        <f t="shared" si="211"/>
        <v>7833000</v>
      </c>
      <c r="V666" s="34"/>
      <c r="W666" s="34"/>
      <c r="X666" s="34"/>
      <c r="Y666" s="34">
        <v>1227528</v>
      </c>
      <c r="Z666" s="34">
        <f t="shared" si="208"/>
        <v>7833000</v>
      </c>
      <c r="AA666" s="4">
        <v>2545725</v>
      </c>
      <c r="AB666" s="8">
        <f t="shared" si="210"/>
        <v>2545725</v>
      </c>
      <c r="AC666" s="4">
        <f t="shared" si="203"/>
        <v>2036580</v>
      </c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</row>
    <row r="667" spans="1:61" s="37" customFormat="1" ht="27.6" customHeight="1" x14ac:dyDescent="0.2">
      <c r="A667" s="9">
        <v>654</v>
      </c>
      <c r="B667" s="58" t="s">
        <v>475</v>
      </c>
      <c r="C667" s="9" t="s">
        <v>394</v>
      </c>
      <c r="D667" s="71">
        <v>21262000</v>
      </c>
      <c r="E667" s="9"/>
      <c r="F667" s="9"/>
      <c r="G667" s="62"/>
      <c r="H667" s="54">
        <v>6.5</v>
      </c>
      <c r="I667" s="94"/>
      <c r="J667" s="94"/>
      <c r="K667" s="34"/>
      <c r="L667" s="34">
        <v>0</v>
      </c>
      <c r="M667" s="8">
        <v>21262000</v>
      </c>
      <c r="N667" s="8">
        <f t="shared" si="212"/>
        <v>21262000</v>
      </c>
      <c r="O667" s="34"/>
      <c r="P667" s="34"/>
      <c r="Q667" s="34"/>
      <c r="R667" s="34">
        <v>0</v>
      </c>
      <c r="S667" s="34">
        <f t="shared" si="205"/>
        <v>17009600</v>
      </c>
      <c r="T667" s="4">
        <v>0</v>
      </c>
      <c r="U667" s="4">
        <f t="shared" si="211"/>
        <v>4252400</v>
      </c>
      <c r="V667" s="34"/>
      <c r="W667" s="34"/>
      <c r="X667" s="34"/>
      <c r="Y667" s="34">
        <v>666404</v>
      </c>
      <c r="Z667" s="34">
        <f t="shared" si="208"/>
        <v>4252400</v>
      </c>
      <c r="AA667" s="4">
        <v>1382030</v>
      </c>
      <c r="AB667" s="8">
        <f t="shared" si="210"/>
        <v>1382030</v>
      </c>
      <c r="AC667" s="4">
        <f t="shared" si="203"/>
        <v>1105624</v>
      </c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</row>
    <row r="668" spans="1:61" s="37" customFormat="1" ht="27.6" customHeight="1" x14ac:dyDescent="0.2">
      <c r="A668" s="9">
        <v>655</v>
      </c>
      <c r="B668" s="58" t="s">
        <v>476</v>
      </c>
      <c r="C668" s="9" t="s">
        <v>394</v>
      </c>
      <c r="D668" s="71">
        <v>29703000</v>
      </c>
      <c r="E668" s="9"/>
      <c r="F668" s="9"/>
      <c r="G668" s="62"/>
      <c r="H668" s="54">
        <v>6.5</v>
      </c>
      <c r="I668" s="94"/>
      <c r="J668" s="94"/>
      <c r="K668" s="34"/>
      <c r="L668" s="34">
        <v>0</v>
      </c>
      <c r="M668" s="8">
        <v>29703000</v>
      </c>
      <c r="N668" s="8">
        <f t="shared" si="212"/>
        <v>29703000</v>
      </c>
      <c r="O668" s="34"/>
      <c r="P668" s="34"/>
      <c r="Q668" s="34"/>
      <c r="R668" s="34">
        <v>0</v>
      </c>
      <c r="S668" s="34">
        <f t="shared" si="205"/>
        <v>23762400</v>
      </c>
      <c r="T668" s="4">
        <v>0</v>
      </c>
      <c r="U668" s="4">
        <f t="shared" si="211"/>
        <v>5940600</v>
      </c>
      <c r="V668" s="34"/>
      <c r="W668" s="34"/>
      <c r="X668" s="34"/>
      <c r="Y668" s="34">
        <v>788147</v>
      </c>
      <c r="Z668" s="34">
        <f t="shared" si="208"/>
        <v>5940600</v>
      </c>
      <c r="AA668" s="4">
        <v>1930695</v>
      </c>
      <c r="AB668" s="8">
        <f t="shared" si="210"/>
        <v>1930695</v>
      </c>
      <c r="AC668" s="4">
        <f t="shared" si="203"/>
        <v>1544556</v>
      </c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</row>
    <row r="669" spans="1:61" s="37" customFormat="1" ht="27.6" customHeight="1" x14ac:dyDescent="0.2">
      <c r="A669" s="9">
        <v>656</v>
      </c>
      <c r="B669" s="58" t="s">
        <v>476</v>
      </c>
      <c r="C669" s="9" t="s">
        <v>394</v>
      </c>
      <c r="D669" s="71">
        <v>39347000</v>
      </c>
      <c r="E669" s="9"/>
      <c r="F669" s="9"/>
      <c r="G669" s="62"/>
      <c r="H669" s="54">
        <v>6.5</v>
      </c>
      <c r="I669" s="94"/>
      <c r="J669" s="94"/>
      <c r="K669" s="34"/>
      <c r="L669" s="34">
        <v>0</v>
      </c>
      <c r="M669" s="8">
        <v>39347000</v>
      </c>
      <c r="N669" s="8">
        <f t="shared" si="212"/>
        <v>39347000</v>
      </c>
      <c r="O669" s="34"/>
      <c r="P669" s="34"/>
      <c r="Q669" s="34"/>
      <c r="R669" s="34">
        <v>0</v>
      </c>
      <c r="S669" s="34">
        <f t="shared" si="205"/>
        <v>31477600</v>
      </c>
      <c r="T669" s="4">
        <v>0</v>
      </c>
      <c r="U669" s="4">
        <f t="shared" si="211"/>
        <v>7869400</v>
      </c>
      <c r="V669" s="34"/>
      <c r="W669" s="34"/>
      <c r="X669" s="34"/>
      <c r="Y669" s="34">
        <v>1044043</v>
      </c>
      <c r="Z669" s="34">
        <f t="shared" si="208"/>
        <v>7869400</v>
      </c>
      <c r="AA669" s="4">
        <v>2557555</v>
      </c>
      <c r="AB669" s="8">
        <f t="shared" si="210"/>
        <v>2557555</v>
      </c>
      <c r="AC669" s="4">
        <f t="shared" si="203"/>
        <v>2046044</v>
      </c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</row>
    <row r="670" spans="1:61" s="37" customFormat="1" ht="27.6" customHeight="1" x14ac:dyDescent="0.2">
      <c r="A670" s="9">
        <v>657</v>
      </c>
      <c r="B670" s="58" t="s">
        <v>431</v>
      </c>
      <c r="C670" s="9" t="s">
        <v>394</v>
      </c>
      <c r="D670" s="71">
        <v>21643000</v>
      </c>
      <c r="E670" s="9"/>
      <c r="F670" s="9"/>
      <c r="G670" s="62"/>
      <c r="H670" s="54">
        <v>6.5</v>
      </c>
      <c r="I670" s="94"/>
      <c r="J670" s="94"/>
      <c r="K670" s="34"/>
      <c r="L670" s="34">
        <v>0</v>
      </c>
      <c r="M670" s="8">
        <v>21643000</v>
      </c>
      <c r="N670" s="8">
        <f t="shared" si="212"/>
        <v>21643000</v>
      </c>
      <c r="O670" s="34"/>
      <c r="P670" s="34"/>
      <c r="Q670" s="34"/>
      <c r="R670" s="34">
        <v>0</v>
      </c>
      <c r="S670" s="34">
        <f t="shared" si="205"/>
        <v>17314400</v>
      </c>
      <c r="T670" s="4">
        <v>0</v>
      </c>
      <c r="U670" s="4">
        <f t="shared" si="211"/>
        <v>4328600</v>
      </c>
      <c r="V670" s="34"/>
      <c r="W670" s="34"/>
      <c r="X670" s="34"/>
      <c r="Y670" s="34">
        <v>385423</v>
      </c>
      <c r="Z670" s="34">
        <f t="shared" si="208"/>
        <v>4328600</v>
      </c>
      <c r="AA670" s="4">
        <v>1406795</v>
      </c>
      <c r="AB670" s="8">
        <f t="shared" si="210"/>
        <v>1406795</v>
      </c>
      <c r="AC670" s="4">
        <f t="shared" si="203"/>
        <v>1125436</v>
      </c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</row>
    <row r="671" spans="1:61" s="37" customFormat="1" ht="27.6" customHeight="1" x14ac:dyDescent="0.2">
      <c r="A671" s="9">
        <v>658</v>
      </c>
      <c r="B671" s="58" t="s">
        <v>431</v>
      </c>
      <c r="C671" s="9" t="s">
        <v>394</v>
      </c>
      <c r="D671" s="71">
        <v>4933000</v>
      </c>
      <c r="E671" s="9"/>
      <c r="F671" s="9"/>
      <c r="G671" s="62"/>
      <c r="H671" s="54">
        <v>6.5</v>
      </c>
      <c r="I671" s="94"/>
      <c r="J671" s="94"/>
      <c r="K671" s="34"/>
      <c r="L671" s="34">
        <v>0</v>
      </c>
      <c r="M671" s="8">
        <v>4933000</v>
      </c>
      <c r="N671" s="8">
        <f t="shared" si="212"/>
        <v>4933000</v>
      </c>
      <c r="O671" s="34"/>
      <c r="P671" s="34"/>
      <c r="Q671" s="34"/>
      <c r="R671" s="34">
        <v>0</v>
      </c>
      <c r="S671" s="34">
        <f t="shared" si="205"/>
        <v>3946400</v>
      </c>
      <c r="T671" s="4">
        <v>0</v>
      </c>
      <c r="U671" s="4">
        <f t="shared" si="211"/>
        <v>986600</v>
      </c>
      <c r="V671" s="34"/>
      <c r="W671" s="34"/>
      <c r="X671" s="34"/>
      <c r="Y671" s="34">
        <v>87848</v>
      </c>
      <c r="Z671" s="34">
        <f t="shared" si="208"/>
        <v>986600</v>
      </c>
      <c r="AA671" s="4">
        <v>320645</v>
      </c>
      <c r="AB671" s="8">
        <f t="shared" si="210"/>
        <v>320645</v>
      </c>
      <c r="AC671" s="4">
        <f t="shared" si="203"/>
        <v>256516</v>
      </c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</row>
    <row r="672" spans="1:61" s="37" customFormat="1" ht="27.6" customHeight="1" x14ac:dyDescent="0.2">
      <c r="A672" s="9">
        <v>659</v>
      </c>
      <c r="B672" s="58" t="s">
        <v>493</v>
      </c>
      <c r="C672" s="9" t="s">
        <v>394</v>
      </c>
      <c r="D672" s="71">
        <v>4514000</v>
      </c>
      <c r="E672" s="9"/>
      <c r="F672" s="9"/>
      <c r="G672" s="62"/>
      <c r="H672" s="54">
        <v>6.5</v>
      </c>
      <c r="I672" s="94"/>
      <c r="J672" s="94"/>
      <c r="K672" s="34"/>
      <c r="L672" s="34">
        <v>0</v>
      </c>
      <c r="M672" s="8">
        <v>4514000</v>
      </c>
      <c r="N672" s="8">
        <f t="shared" si="212"/>
        <v>4514000</v>
      </c>
      <c r="O672" s="34"/>
      <c r="P672" s="34"/>
      <c r="Q672" s="34"/>
      <c r="R672" s="34">
        <v>0</v>
      </c>
      <c r="S672" s="34">
        <f t="shared" si="205"/>
        <v>3611200</v>
      </c>
      <c r="T672" s="4">
        <v>0</v>
      </c>
      <c r="U672" s="4">
        <f t="shared" si="211"/>
        <v>902800</v>
      </c>
      <c r="V672" s="34"/>
      <c r="W672" s="34"/>
      <c r="X672" s="34"/>
      <c r="Y672" s="34">
        <v>49840</v>
      </c>
      <c r="Z672" s="34">
        <f t="shared" si="208"/>
        <v>902800</v>
      </c>
      <c r="AA672" s="4">
        <v>293410</v>
      </c>
      <c r="AB672" s="8">
        <f t="shared" si="210"/>
        <v>293410</v>
      </c>
      <c r="AC672" s="4">
        <f t="shared" si="203"/>
        <v>234728</v>
      </c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</row>
    <row r="673" spans="1:61" s="37" customFormat="1" ht="27.6" customHeight="1" x14ac:dyDescent="0.2">
      <c r="A673" s="9">
        <v>660</v>
      </c>
      <c r="B673" s="58" t="s">
        <v>493</v>
      </c>
      <c r="C673" s="9" t="s">
        <v>394</v>
      </c>
      <c r="D673" s="71">
        <v>18000000</v>
      </c>
      <c r="E673" s="9"/>
      <c r="F673" s="9"/>
      <c r="G673" s="62"/>
      <c r="H673" s="54">
        <v>6.5</v>
      </c>
      <c r="I673" s="94"/>
      <c r="J673" s="94"/>
      <c r="K673" s="34"/>
      <c r="L673" s="34">
        <v>0</v>
      </c>
      <c r="M673" s="8">
        <v>18000000</v>
      </c>
      <c r="N673" s="8">
        <f t="shared" si="212"/>
        <v>18000000</v>
      </c>
      <c r="O673" s="34"/>
      <c r="P673" s="34"/>
      <c r="Q673" s="34"/>
      <c r="R673" s="34">
        <v>0</v>
      </c>
      <c r="S673" s="34">
        <f t="shared" si="205"/>
        <v>14400000</v>
      </c>
      <c r="T673" s="4">
        <v>0</v>
      </c>
      <c r="U673" s="4">
        <f t="shared" si="211"/>
        <v>3600000</v>
      </c>
      <c r="V673" s="34"/>
      <c r="W673" s="34"/>
      <c r="X673" s="34"/>
      <c r="Y673" s="34">
        <v>198740</v>
      </c>
      <c r="Z673" s="34">
        <f t="shared" si="208"/>
        <v>3600000</v>
      </c>
      <c r="AA673" s="4">
        <v>1170000</v>
      </c>
      <c r="AB673" s="8">
        <f t="shared" si="210"/>
        <v>1170000</v>
      </c>
      <c r="AC673" s="4">
        <f t="shared" si="203"/>
        <v>936000</v>
      </c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</row>
    <row r="674" spans="1:61" s="37" customFormat="1" ht="27.6" customHeight="1" x14ac:dyDescent="0.2">
      <c r="A674" s="9">
        <v>661</v>
      </c>
      <c r="B674" s="58" t="s">
        <v>543</v>
      </c>
      <c r="C674" s="9" t="s">
        <v>394</v>
      </c>
      <c r="D674" s="71">
        <v>20693000</v>
      </c>
      <c r="E674" s="9"/>
      <c r="F674" s="9"/>
      <c r="G674" s="62"/>
      <c r="H674" s="54">
        <v>6.5</v>
      </c>
      <c r="I674" s="94"/>
      <c r="J674" s="94"/>
      <c r="K674" s="34"/>
      <c r="L674" s="34">
        <v>0</v>
      </c>
      <c r="M674" s="8">
        <v>20693000</v>
      </c>
      <c r="N674" s="8">
        <f t="shared" si="212"/>
        <v>20693000</v>
      </c>
      <c r="O674" s="34"/>
      <c r="P674" s="34"/>
      <c r="Q674" s="34"/>
      <c r="R674" s="34">
        <v>0</v>
      </c>
      <c r="S674" s="34">
        <f t="shared" si="205"/>
        <v>16554400</v>
      </c>
      <c r="T674" s="4">
        <v>0</v>
      </c>
      <c r="U674" s="4">
        <f t="shared" si="211"/>
        <v>4138600</v>
      </c>
      <c r="V674" s="34"/>
      <c r="W674" s="34"/>
      <c r="X674" s="34"/>
      <c r="Y674" s="34">
        <v>143717</v>
      </c>
      <c r="Z674" s="34">
        <f t="shared" si="208"/>
        <v>4138600</v>
      </c>
      <c r="AA674" s="4">
        <v>1345045</v>
      </c>
      <c r="AB674" s="8">
        <f t="shared" si="210"/>
        <v>1345045</v>
      </c>
      <c r="AC674" s="4">
        <f t="shared" si="203"/>
        <v>1076036</v>
      </c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</row>
    <row r="675" spans="1:61" s="37" customFormat="1" ht="27.6" customHeight="1" x14ac:dyDescent="0.2">
      <c r="A675" s="9">
        <v>662</v>
      </c>
      <c r="B675" s="58" t="s">
        <v>543</v>
      </c>
      <c r="C675" s="9" t="s">
        <v>394</v>
      </c>
      <c r="D675" s="71">
        <v>25081000</v>
      </c>
      <c r="E675" s="9"/>
      <c r="F675" s="9"/>
      <c r="G675" s="62"/>
      <c r="H675" s="54">
        <v>6.5</v>
      </c>
      <c r="I675" s="94"/>
      <c r="J675" s="94"/>
      <c r="K675" s="34"/>
      <c r="L675" s="34">
        <v>0</v>
      </c>
      <c r="M675" s="8">
        <v>25081000</v>
      </c>
      <c r="N675" s="8">
        <f t="shared" si="212"/>
        <v>25081000</v>
      </c>
      <c r="O675" s="34"/>
      <c r="P675" s="34"/>
      <c r="Q675" s="34"/>
      <c r="R675" s="34">
        <v>0</v>
      </c>
      <c r="S675" s="34">
        <f t="shared" si="205"/>
        <v>20064800</v>
      </c>
      <c r="T675" s="4">
        <v>0</v>
      </c>
      <c r="U675" s="4">
        <f t="shared" si="211"/>
        <v>5016200</v>
      </c>
      <c r="V675" s="34"/>
      <c r="W675" s="34"/>
      <c r="X675" s="34"/>
      <c r="Y675" s="34">
        <v>174193</v>
      </c>
      <c r="Z675" s="34">
        <f t="shared" si="208"/>
        <v>5016200</v>
      </c>
      <c r="AA675" s="4">
        <v>1630265</v>
      </c>
      <c r="AB675" s="8">
        <f t="shared" si="210"/>
        <v>1630265</v>
      </c>
      <c r="AC675" s="4">
        <f t="shared" si="203"/>
        <v>1304212</v>
      </c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</row>
    <row r="676" spans="1:61" s="37" customFormat="1" ht="27.6" customHeight="1" x14ac:dyDescent="0.2">
      <c r="A676" s="9">
        <v>663</v>
      </c>
      <c r="B676" s="58" t="s">
        <v>545</v>
      </c>
      <c r="C676" s="9" t="s">
        <v>394</v>
      </c>
      <c r="D676" s="71">
        <v>7342000</v>
      </c>
      <c r="E676" s="9"/>
      <c r="F676" s="9"/>
      <c r="G676" s="62"/>
      <c r="H676" s="54">
        <v>6.5</v>
      </c>
      <c r="I676" s="94"/>
      <c r="J676" s="94"/>
      <c r="K676" s="34"/>
      <c r="L676" s="34">
        <v>0</v>
      </c>
      <c r="M676" s="8">
        <v>7342000</v>
      </c>
      <c r="N676" s="8">
        <f t="shared" si="212"/>
        <v>7342000</v>
      </c>
      <c r="O676" s="34"/>
      <c r="P676" s="34"/>
      <c r="Q676" s="34"/>
      <c r="R676" s="34">
        <v>0</v>
      </c>
      <c r="S676" s="34">
        <f t="shared" si="205"/>
        <v>5873600</v>
      </c>
      <c r="T676" s="4">
        <v>0</v>
      </c>
      <c r="U676" s="4">
        <f t="shared" si="211"/>
        <v>1468400</v>
      </c>
      <c r="V676" s="34"/>
      <c r="W676" s="34"/>
      <c r="X676" s="34"/>
      <c r="Y676" s="34">
        <v>43147</v>
      </c>
      <c r="Z676" s="34">
        <f t="shared" si="208"/>
        <v>1468400</v>
      </c>
      <c r="AA676" s="4">
        <v>477230</v>
      </c>
      <c r="AB676" s="8">
        <f t="shared" si="210"/>
        <v>477230</v>
      </c>
      <c r="AC676" s="4">
        <f t="shared" si="203"/>
        <v>381784</v>
      </c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</row>
    <row r="677" spans="1:61" s="37" customFormat="1" ht="27.6" customHeight="1" x14ac:dyDescent="0.2">
      <c r="A677" s="9">
        <v>664</v>
      </c>
      <c r="B677" s="58" t="s">
        <v>545</v>
      </c>
      <c r="C677" s="9" t="s">
        <v>394</v>
      </c>
      <c r="D677" s="71">
        <v>63048000</v>
      </c>
      <c r="E677" s="9"/>
      <c r="F677" s="9"/>
      <c r="G677" s="62"/>
      <c r="H677" s="54">
        <v>6.5</v>
      </c>
      <c r="I677" s="94"/>
      <c r="J677" s="94"/>
      <c r="K677" s="34"/>
      <c r="L677" s="34">
        <v>0</v>
      </c>
      <c r="M677" s="8">
        <v>63048000</v>
      </c>
      <c r="N677" s="8">
        <f t="shared" si="212"/>
        <v>63048000</v>
      </c>
      <c r="O677" s="34"/>
      <c r="P677" s="34"/>
      <c r="Q677" s="34"/>
      <c r="R677" s="34">
        <v>0</v>
      </c>
      <c r="S677" s="34">
        <f t="shared" si="205"/>
        <v>50438400</v>
      </c>
      <c r="T677" s="4">
        <v>0</v>
      </c>
      <c r="U677" s="4">
        <f t="shared" si="211"/>
        <v>12609600</v>
      </c>
      <c r="V677" s="34"/>
      <c r="W677" s="34"/>
      <c r="X677" s="34"/>
      <c r="Y677" s="34">
        <v>370515</v>
      </c>
      <c r="Z677" s="34">
        <f t="shared" si="208"/>
        <v>12609600</v>
      </c>
      <c r="AA677" s="4">
        <v>4098120</v>
      </c>
      <c r="AB677" s="8">
        <f t="shared" si="210"/>
        <v>4098120</v>
      </c>
      <c r="AC677" s="4">
        <f t="shared" si="203"/>
        <v>3278496</v>
      </c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</row>
    <row r="678" spans="1:61" s="37" customFormat="1" ht="27.6" customHeight="1" x14ac:dyDescent="0.2">
      <c r="A678" s="9">
        <v>665</v>
      </c>
      <c r="B678" s="58" t="s">
        <v>497</v>
      </c>
      <c r="C678" s="9" t="s">
        <v>394</v>
      </c>
      <c r="D678" s="71">
        <v>31564000</v>
      </c>
      <c r="E678" s="9"/>
      <c r="F678" s="9"/>
      <c r="G678" s="62"/>
      <c r="H678" s="54">
        <v>6.5</v>
      </c>
      <c r="I678" s="94"/>
      <c r="J678" s="94"/>
      <c r="K678" s="34"/>
      <c r="L678" s="34">
        <v>0</v>
      </c>
      <c r="M678" s="8">
        <v>31564000</v>
      </c>
      <c r="N678" s="8">
        <f t="shared" si="212"/>
        <v>31564000</v>
      </c>
      <c r="O678" s="34"/>
      <c r="P678" s="34"/>
      <c r="Q678" s="34"/>
      <c r="R678" s="34">
        <v>0</v>
      </c>
      <c r="S678" s="34">
        <f t="shared" si="205"/>
        <v>25251200</v>
      </c>
      <c r="T678" s="4">
        <v>0</v>
      </c>
      <c r="U678" s="4">
        <f t="shared" si="211"/>
        <v>6312800</v>
      </c>
      <c r="V678" s="34"/>
      <c r="W678" s="34"/>
      <c r="X678" s="34"/>
      <c r="Y678" s="34">
        <v>185493</v>
      </c>
      <c r="Z678" s="34">
        <f t="shared" si="208"/>
        <v>6312800</v>
      </c>
      <c r="AA678" s="4">
        <v>2051660</v>
      </c>
      <c r="AB678" s="8">
        <f t="shared" si="210"/>
        <v>2051660</v>
      </c>
      <c r="AC678" s="4">
        <f t="shared" si="203"/>
        <v>1641328</v>
      </c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</row>
    <row r="679" spans="1:61" s="37" customFormat="1" ht="27.6" customHeight="1" x14ac:dyDescent="0.2">
      <c r="A679" s="9">
        <v>666</v>
      </c>
      <c r="B679" s="58" t="s">
        <v>497</v>
      </c>
      <c r="C679" s="9" t="s">
        <v>394</v>
      </c>
      <c r="D679" s="71">
        <v>14757000</v>
      </c>
      <c r="E679" s="9"/>
      <c r="F679" s="9"/>
      <c r="G679" s="62"/>
      <c r="H679" s="54">
        <v>6.5</v>
      </c>
      <c r="I679" s="94"/>
      <c r="J679" s="94"/>
      <c r="K679" s="34"/>
      <c r="L679" s="34">
        <v>0</v>
      </c>
      <c r="M679" s="8">
        <v>14757000</v>
      </c>
      <c r="N679" s="8">
        <f t="shared" si="212"/>
        <v>14757000</v>
      </c>
      <c r="O679" s="34"/>
      <c r="P679" s="34"/>
      <c r="Q679" s="34"/>
      <c r="R679" s="34">
        <v>0</v>
      </c>
      <c r="S679" s="34">
        <f t="shared" si="205"/>
        <v>11805600</v>
      </c>
      <c r="T679" s="4">
        <v>0</v>
      </c>
      <c r="U679" s="4">
        <f t="shared" si="211"/>
        <v>2951400</v>
      </c>
      <c r="V679" s="34"/>
      <c r="W679" s="34"/>
      <c r="X679" s="34"/>
      <c r="Y679" s="34">
        <v>65699</v>
      </c>
      <c r="Z679" s="34">
        <f t="shared" si="208"/>
        <v>2951400</v>
      </c>
      <c r="AA679" s="4">
        <v>959205</v>
      </c>
      <c r="AB679" s="8">
        <f t="shared" si="210"/>
        <v>959205</v>
      </c>
      <c r="AC679" s="4">
        <f t="shared" si="203"/>
        <v>767364</v>
      </c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</row>
    <row r="680" spans="1:61" s="37" customFormat="1" ht="27.6" customHeight="1" x14ac:dyDescent="0.2">
      <c r="A680" s="9">
        <v>667</v>
      </c>
      <c r="B680" s="58" t="s">
        <v>546</v>
      </c>
      <c r="C680" s="9" t="s">
        <v>394</v>
      </c>
      <c r="D680" s="71">
        <v>3159000</v>
      </c>
      <c r="E680" s="9"/>
      <c r="F680" s="9"/>
      <c r="G680" s="62"/>
      <c r="H680" s="54">
        <v>6.5</v>
      </c>
      <c r="I680" s="34"/>
      <c r="J680" s="34"/>
      <c r="K680" s="34"/>
      <c r="L680" s="34">
        <v>0</v>
      </c>
      <c r="M680" s="34">
        <v>3159000</v>
      </c>
      <c r="N680" s="8">
        <f t="shared" si="212"/>
        <v>3159000</v>
      </c>
      <c r="O680" s="34"/>
      <c r="P680" s="34"/>
      <c r="Q680" s="34"/>
      <c r="R680" s="34">
        <v>0</v>
      </c>
      <c r="S680" s="34">
        <f t="shared" si="205"/>
        <v>2527200</v>
      </c>
      <c r="T680" s="34">
        <v>0</v>
      </c>
      <c r="U680" s="4">
        <f t="shared" si="211"/>
        <v>631800</v>
      </c>
      <c r="V680" s="34"/>
      <c r="W680" s="34"/>
      <c r="X680" s="34"/>
      <c r="Y680" s="34">
        <v>11251</v>
      </c>
      <c r="Z680" s="34">
        <f t="shared" si="208"/>
        <v>631800</v>
      </c>
      <c r="AA680" s="34">
        <v>205335</v>
      </c>
      <c r="AB680" s="8">
        <f t="shared" si="210"/>
        <v>205335</v>
      </c>
      <c r="AC680" s="4">
        <f t="shared" si="203"/>
        <v>164268</v>
      </c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</row>
    <row r="681" spans="1:61" s="37" customFormat="1" ht="27.6" customHeight="1" x14ac:dyDescent="0.2">
      <c r="A681" s="9">
        <v>668</v>
      </c>
      <c r="B681" s="58" t="s">
        <v>546</v>
      </c>
      <c r="C681" s="9" t="s">
        <v>394</v>
      </c>
      <c r="D681" s="71">
        <v>10379000</v>
      </c>
      <c r="E681" s="9"/>
      <c r="F681" s="9"/>
      <c r="G681" s="62"/>
      <c r="H681" s="54">
        <v>6.5</v>
      </c>
      <c r="I681" s="34"/>
      <c r="J681" s="34"/>
      <c r="K681" s="34"/>
      <c r="L681" s="34">
        <v>0</v>
      </c>
      <c r="M681" s="34">
        <v>10379000</v>
      </c>
      <c r="N681" s="8">
        <f t="shared" si="212"/>
        <v>10379000</v>
      </c>
      <c r="O681" s="34"/>
      <c r="P681" s="34"/>
      <c r="Q681" s="34"/>
      <c r="R681" s="34">
        <v>0</v>
      </c>
      <c r="S681" s="34">
        <f t="shared" si="205"/>
        <v>8303200</v>
      </c>
      <c r="T681" s="34">
        <v>0</v>
      </c>
      <c r="U681" s="4">
        <f t="shared" si="211"/>
        <v>2075800</v>
      </c>
      <c r="V681" s="34"/>
      <c r="W681" s="34"/>
      <c r="X681" s="34"/>
      <c r="Y681" s="34">
        <v>36966</v>
      </c>
      <c r="Z681" s="34">
        <f t="shared" si="208"/>
        <v>2075800</v>
      </c>
      <c r="AA681" s="34">
        <v>674635</v>
      </c>
      <c r="AB681" s="8">
        <f t="shared" si="210"/>
        <v>674635</v>
      </c>
      <c r="AC681" s="4">
        <f t="shared" si="203"/>
        <v>539708</v>
      </c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</row>
    <row r="682" spans="1:61" s="37" customFormat="1" ht="27.6" customHeight="1" x14ac:dyDescent="0.2">
      <c r="A682" s="9">
        <v>669</v>
      </c>
      <c r="B682" s="58" t="s">
        <v>547</v>
      </c>
      <c r="C682" s="9" t="s">
        <v>394</v>
      </c>
      <c r="D682" s="71">
        <v>22578000</v>
      </c>
      <c r="E682" s="9"/>
      <c r="F682" s="9"/>
      <c r="G682" s="62"/>
      <c r="H682" s="54">
        <v>6.5</v>
      </c>
      <c r="I682" s="94"/>
      <c r="J682" s="94"/>
      <c r="K682" s="34"/>
      <c r="L682" s="34">
        <v>0</v>
      </c>
      <c r="M682" s="8">
        <v>22578000</v>
      </c>
      <c r="N682" s="8">
        <f t="shared" si="212"/>
        <v>22578000</v>
      </c>
      <c r="O682" s="34"/>
      <c r="P682" s="34"/>
      <c r="Q682" s="34"/>
      <c r="R682" s="34">
        <v>0</v>
      </c>
      <c r="S682" s="34">
        <f t="shared" si="205"/>
        <v>18062400</v>
      </c>
      <c r="T682" s="4">
        <v>0</v>
      </c>
      <c r="U682" s="4">
        <f t="shared" si="211"/>
        <v>4515600</v>
      </c>
      <c r="V682" s="34"/>
      <c r="W682" s="34"/>
      <c r="X682" s="34"/>
      <c r="Y682" s="34">
        <v>60311</v>
      </c>
      <c r="Z682" s="34">
        <f t="shared" si="208"/>
        <v>4515600</v>
      </c>
      <c r="AA682" s="4">
        <v>1467570</v>
      </c>
      <c r="AB682" s="8">
        <f t="shared" si="210"/>
        <v>1467570</v>
      </c>
      <c r="AC682" s="4">
        <f t="shared" si="203"/>
        <v>1174056</v>
      </c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</row>
    <row r="683" spans="1:61" s="37" customFormat="1" ht="27.6" customHeight="1" x14ac:dyDescent="0.2">
      <c r="A683" s="9">
        <v>670</v>
      </c>
      <c r="B683" s="58" t="s">
        <v>547</v>
      </c>
      <c r="C683" s="9" t="s">
        <v>394</v>
      </c>
      <c r="D683" s="71">
        <v>30652000</v>
      </c>
      <c r="E683" s="9"/>
      <c r="F683" s="9"/>
      <c r="G683" s="62"/>
      <c r="H683" s="54">
        <v>6.5</v>
      </c>
      <c r="I683" s="94"/>
      <c r="J683" s="94"/>
      <c r="K683" s="34"/>
      <c r="L683" s="34">
        <v>0</v>
      </c>
      <c r="M683" s="8">
        <v>30652000</v>
      </c>
      <c r="N683" s="8">
        <f t="shared" si="212"/>
        <v>30652000</v>
      </c>
      <c r="O683" s="34"/>
      <c r="P683" s="34"/>
      <c r="Q683" s="34"/>
      <c r="R683" s="34">
        <v>0</v>
      </c>
      <c r="S683" s="34">
        <f t="shared" si="205"/>
        <v>24521600</v>
      </c>
      <c r="T683" s="4">
        <v>0</v>
      </c>
      <c r="U683" s="4">
        <f t="shared" si="211"/>
        <v>6130400</v>
      </c>
      <c r="V683" s="34"/>
      <c r="W683" s="34"/>
      <c r="X683" s="34"/>
      <c r="Y683" s="34">
        <v>81879</v>
      </c>
      <c r="Z683" s="34">
        <f t="shared" si="208"/>
        <v>6130400</v>
      </c>
      <c r="AA683" s="4">
        <v>1992380</v>
      </c>
      <c r="AB683" s="8">
        <f t="shared" si="210"/>
        <v>1992380</v>
      </c>
      <c r="AC683" s="4">
        <f t="shared" si="203"/>
        <v>1593904</v>
      </c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</row>
    <row r="684" spans="1:61" s="37" customFormat="1" ht="27.6" customHeight="1" x14ac:dyDescent="0.2">
      <c r="A684" s="9">
        <v>671</v>
      </c>
      <c r="B684" s="58" t="s">
        <v>547</v>
      </c>
      <c r="C684" s="9" t="s">
        <v>394</v>
      </c>
      <c r="D684" s="71">
        <v>7905000</v>
      </c>
      <c r="E684" s="9"/>
      <c r="F684" s="9"/>
      <c r="G684" s="62"/>
      <c r="H684" s="54">
        <v>6.5</v>
      </c>
      <c r="I684" s="94"/>
      <c r="J684" s="94"/>
      <c r="K684" s="34"/>
      <c r="L684" s="34">
        <v>0</v>
      </c>
      <c r="M684" s="8">
        <v>7905000</v>
      </c>
      <c r="N684" s="8">
        <f t="shared" si="212"/>
        <v>7905000</v>
      </c>
      <c r="O684" s="34"/>
      <c r="P684" s="34"/>
      <c r="Q684" s="34"/>
      <c r="R684" s="34">
        <v>0</v>
      </c>
      <c r="S684" s="34">
        <f t="shared" si="205"/>
        <v>6324000</v>
      </c>
      <c r="T684" s="4">
        <v>0</v>
      </c>
      <c r="U684" s="4">
        <f t="shared" si="211"/>
        <v>1581000</v>
      </c>
      <c r="V684" s="34"/>
      <c r="W684" s="34"/>
      <c r="X684" s="34"/>
      <c r="Y684" s="34">
        <v>21116</v>
      </c>
      <c r="Z684" s="34">
        <f t="shared" si="208"/>
        <v>1581000</v>
      </c>
      <c r="AA684" s="4">
        <v>513825</v>
      </c>
      <c r="AB684" s="8">
        <f t="shared" si="210"/>
        <v>513825</v>
      </c>
      <c r="AC684" s="4">
        <f t="shared" si="203"/>
        <v>411060</v>
      </c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</row>
    <row r="685" spans="1:61" s="37" customFormat="1" ht="27.6" customHeight="1" x14ac:dyDescent="0.2">
      <c r="A685" s="9">
        <v>672</v>
      </c>
      <c r="B685" s="58" t="s">
        <v>548</v>
      </c>
      <c r="C685" s="9" t="s">
        <v>394</v>
      </c>
      <c r="D685" s="71">
        <v>31066000</v>
      </c>
      <c r="E685" s="9"/>
      <c r="F685" s="9"/>
      <c r="G685" s="62"/>
      <c r="H685" s="54">
        <v>6.5</v>
      </c>
      <c r="I685" s="94"/>
      <c r="J685" s="94"/>
      <c r="K685" s="34"/>
      <c r="L685" s="34">
        <v>0</v>
      </c>
      <c r="M685" s="8">
        <v>31066000</v>
      </c>
      <c r="N685" s="8">
        <f t="shared" si="212"/>
        <v>31066000</v>
      </c>
      <c r="O685" s="34"/>
      <c r="P685" s="34"/>
      <c r="Q685" s="34"/>
      <c r="R685" s="34">
        <v>0</v>
      </c>
      <c r="S685" s="34">
        <f t="shared" si="205"/>
        <v>24852800</v>
      </c>
      <c r="T685" s="4">
        <v>0</v>
      </c>
      <c r="U685" s="4">
        <f t="shared" si="211"/>
        <v>6213200</v>
      </c>
      <c r="V685" s="34"/>
      <c r="W685" s="34"/>
      <c r="X685" s="34"/>
      <c r="Y685" s="34">
        <v>71920</v>
      </c>
      <c r="Z685" s="34">
        <f t="shared" si="208"/>
        <v>6213200</v>
      </c>
      <c r="AA685" s="4">
        <v>2019290</v>
      </c>
      <c r="AB685" s="8">
        <f t="shared" si="210"/>
        <v>2019290</v>
      </c>
      <c r="AC685" s="4">
        <f t="shared" si="203"/>
        <v>1615432</v>
      </c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</row>
    <row r="686" spans="1:61" s="37" customFormat="1" ht="27.6" customHeight="1" x14ac:dyDescent="0.2">
      <c r="A686" s="9">
        <v>673</v>
      </c>
      <c r="B686" s="58" t="s">
        <v>549</v>
      </c>
      <c r="C686" s="9" t="s">
        <v>394</v>
      </c>
      <c r="D686" s="71">
        <v>7713000</v>
      </c>
      <c r="E686" s="9"/>
      <c r="F686" s="9"/>
      <c r="G686" s="62"/>
      <c r="H686" s="54">
        <v>6.5</v>
      </c>
      <c r="I686" s="94"/>
      <c r="J686" s="94"/>
      <c r="K686" s="34"/>
      <c r="L686" s="34">
        <v>0</v>
      </c>
      <c r="M686" s="8">
        <v>7713000</v>
      </c>
      <c r="N686" s="8">
        <f t="shared" si="212"/>
        <v>7713000</v>
      </c>
      <c r="O686" s="34"/>
      <c r="P686" s="34"/>
      <c r="Q686" s="34"/>
      <c r="R686" s="34">
        <v>0</v>
      </c>
      <c r="S686" s="34">
        <f t="shared" si="205"/>
        <v>6170400</v>
      </c>
      <c r="T686" s="4">
        <v>0</v>
      </c>
      <c r="U686" s="4">
        <f t="shared" si="211"/>
        <v>1542600</v>
      </c>
      <c r="V686" s="34"/>
      <c r="W686" s="34"/>
      <c r="X686" s="34"/>
      <c r="Y686" s="34">
        <v>16483</v>
      </c>
      <c r="Z686" s="34">
        <f t="shared" si="208"/>
        <v>1542600</v>
      </c>
      <c r="AA686" s="4">
        <v>501345</v>
      </c>
      <c r="AB686" s="8">
        <f t="shared" si="210"/>
        <v>501345</v>
      </c>
      <c r="AC686" s="4">
        <f t="shared" si="203"/>
        <v>401076</v>
      </c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</row>
    <row r="687" spans="1:61" s="37" customFormat="1" ht="27.6" customHeight="1" x14ac:dyDescent="0.2">
      <c r="A687" s="9">
        <v>674</v>
      </c>
      <c r="B687" s="58" t="s">
        <v>549</v>
      </c>
      <c r="C687" s="9" t="s">
        <v>394</v>
      </c>
      <c r="D687" s="71">
        <v>30460000</v>
      </c>
      <c r="E687" s="9"/>
      <c r="F687" s="9"/>
      <c r="G687" s="62"/>
      <c r="H687" s="54">
        <v>6.5</v>
      </c>
      <c r="I687" s="94"/>
      <c r="J687" s="94"/>
      <c r="K687" s="34"/>
      <c r="L687" s="34">
        <v>0</v>
      </c>
      <c r="M687" s="8">
        <v>30460000</v>
      </c>
      <c r="N687" s="8">
        <f t="shared" si="212"/>
        <v>30460000</v>
      </c>
      <c r="O687" s="34"/>
      <c r="P687" s="34"/>
      <c r="Q687" s="34"/>
      <c r="R687" s="34">
        <v>0</v>
      </c>
      <c r="S687" s="34">
        <f t="shared" si="205"/>
        <v>24368000</v>
      </c>
      <c r="T687" s="4">
        <v>0</v>
      </c>
      <c r="U687" s="4">
        <f t="shared" si="211"/>
        <v>6092000</v>
      </c>
      <c r="V687" s="34"/>
      <c r="W687" s="34"/>
      <c r="X687" s="34"/>
      <c r="Y687" s="34">
        <v>65093</v>
      </c>
      <c r="Z687" s="34">
        <f t="shared" si="208"/>
        <v>6092000</v>
      </c>
      <c r="AA687" s="4">
        <v>1979900</v>
      </c>
      <c r="AB687" s="8">
        <f t="shared" si="210"/>
        <v>1979900</v>
      </c>
      <c r="AC687" s="4">
        <f t="shared" si="203"/>
        <v>1583920</v>
      </c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</row>
    <row r="688" spans="1:61" s="37" customFormat="1" ht="27.6" customHeight="1" x14ac:dyDescent="0.2">
      <c r="A688" s="9">
        <v>675</v>
      </c>
      <c r="B688" s="58" t="s">
        <v>552</v>
      </c>
      <c r="C688" s="9" t="s">
        <v>394</v>
      </c>
      <c r="D688" s="71">
        <v>57989000</v>
      </c>
      <c r="E688" s="9"/>
      <c r="F688" s="9"/>
      <c r="G688" s="62"/>
      <c r="H688" s="54">
        <v>6.5</v>
      </c>
      <c r="I688" s="94"/>
      <c r="J688" s="94"/>
      <c r="K688" s="34"/>
      <c r="L688" s="34">
        <v>0</v>
      </c>
      <c r="M688" s="8">
        <v>57989000</v>
      </c>
      <c r="N688" s="8">
        <f t="shared" si="212"/>
        <v>57989000</v>
      </c>
      <c r="O688" s="34"/>
      <c r="P688" s="34"/>
      <c r="Q688" s="34"/>
      <c r="R688" s="34">
        <v>0</v>
      </c>
      <c r="S688" s="34">
        <f t="shared" si="205"/>
        <v>46391200</v>
      </c>
      <c r="T688" s="4">
        <v>0</v>
      </c>
      <c r="U688" s="4">
        <f t="shared" si="211"/>
        <v>11597800</v>
      </c>
      <c r="V688" s="34"/>
      <c r="W688" s="34"/>
      <c r="X688" s="34"/>
      <c r="Y688" s="34">
        <v>41307</v>
      </c>
      <c r="Z688" s="34">
        <f t="shared" si="208"/>
        <v>11597800</v>
      </c>
      <c r="AA688" s="4">
        <v>3769285</v>
      </c>
      <c r="AB688" s="8">
        <f t="shared" si="210"/>
        <v>3769285</v>
      </c>
      <c r="AC688" s="4">
        <f t="shared" si="203"/>
        <v>3015428</v>
      </c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</row>
    <row r="689" spans="1:61" s="37" customFormat="1" ht="27.6" customHeight="1" x14ac:dyDescent="0.2">
      <c r="A689" s="9">
        <v>676</v>
      </c>
      <c r="B689" s="58" t="s">
        <v>552</v>
      </c>
      <c r="C689" s="9" t="s">
        <v>394</v>
      </c>
      <c r="D689" s="71">
        <v>17715000</v>
      </c>
      <c r="E689" s="9"/>
      <c r="F689" s="9"/>
      <c r="G689" s="62"/>
      <c r="H689" s="54">
        <v>6.5</v>
      </c>
      <c r="I689" s="94"/>
      <c r="J689" s="94"/>
      <c r="K689" s="34"/>
      <c r="L689" s="34">
        <v>0</v>
      </c>
      <c r="M689" s="8">
        <v>17715000</v>
      </c>
      <c r="N689" s="8">
        <f t="shared" si="212"/>
        <v>17715000</v>
      </c>
      <c r="O689" s="34"/>
      <c r="P689" s="34"/>
      <c r="Q689" s="34"/>
      <c r="R689" s="34">
        <v>0</v>
      </c>
      <c r="S689" s="34">
        <f t="shared" si="205"/>
        <v>14172000</v>
      </c>
      <c r="T689" s="4">
        <v>0</v>
      </c>
      <c r="U689" s="4">
        <f t="shared" si="211"/>
        <v>3543000</v>
      </c>
      <c r="V689" s="34"/>
      <c r="W689" s="34"/>
      <c r="X689" s="34"/>
      <c r="Y689" s="34">
        <v>12619</v>
      </c>
      <c r="Z689" s="34">
        <f t="shared" si="208"/>
        <v>3543000</v>
      </c>
      <c r="AA689" s="4">
        <v>1151475</v>
      </c>
      <c r="AB689" s="8">
        <f t="shared" si="210"/>
        <v>1151475</v>
      </c>
      <c r="AC689" s="4">
        <f t="shared" si="203"/>
        <v>921180</v>
      </c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</row>
    <row r="690" spans="1:61" s="37" customFormat="1" ht="27.6" customHeight="1" x14ac:dyDescent="0.2">
      <c r="A690" s="9">
        <v>677</v>
      </c>
      <c r="B690" s="58" t="s">
        <v>552</v>
      </c>
      <c r="C690" s="9" t="s">
        <v>394</v>
      </c>
      <c r="D690" s="71">
        <v>27281000</v>
      </c>
      <c r="E690" s="9"/>
      <c r="F690" s="9"/>
      <c r="G690" s="62"/>
      <c r="H690" s="54">
        <v>6.5</v>
      </c>
      <c r="I690" s="94"/>
      <c r="J690" s="94"/>
      <c r="K690" s="34"/>
      <c r="L690" s="34">
        <v>0</v>
      </c>
      <c r="M690" s="8">
        <v>27281000</v>
      </c>
      <c r="N690" s="8">
        <f t="shared" si="212"/>
        <v>27281000</v>
      </c>
      <c r="O690" s="34"/>
      <c r="P690" s="34"/>
      <c r="Q690" s="34"/>
      <c r="R690" s="34">
        <v>0</v>
      </c>
      <c r="S690" s="34">
        <f t="shared" si="205"/>
        <v>21824800</v>
      </c>
      <c r="T690" s="4">
        <v>0</v>
      </c>
      <c r="U690" s="4">
        <f t="shared" si="211"/>
        <v>5456200</v>
      </c>
      <c r="V690" s="34"/>
      <c r="W690" s="34"/>
      <c r="X690" s="34"/>
      <c r="Y690" s="34">
        <v>19433</v>
      </c>
      <c r="Z690" s="34">
        <f t="shared" si="208"/>
        <v>5456200</v>
      </c>
      <c r="AA690" s="4">
        <v>1773265</v>
      </c>
      <c r="AB690" s="8">
        <f t="shared" si="210"/>
        <v>1773265</v>
      </c>
      <c r="AC690" s="4">
        <f t="shared" si="203"/>
        <v>1418612</v>
      </c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</row>
    <row r="691" spans="1:61" s="37" customFormat="1" ht="27.6" customHeight="1" x14ac:dyDescent="0.2">
      <c r="A691" s="9">
        <v>678</v>
      </c>
      <c r="B691" s="58" t="s">
        <v>553</v>
      </c>
      <c r="C691" s="9" t="s">
        <v>394</v>
      </c>
      <c r="D691" s="71">
        <v>22185000</v>
      </c>
      <c r="E691" s="9"/>
      <c r="F691" s="9"/>
      <c r="G691" s="62"/>
      <c r="H691" s="54">
        <v>6.5</v>
      </c>
      <c r="I691" s="94"/>
      <c r="J691" s="94"/>
      <c r="K691" s="34"/>
      <c r="L691" s="34">
        <v>0</v>
      </c>
      <c r="M691" s="8">
        <v>22185000</v>
      </c>
      <c r="N691" s="8">
        <f t="shared" si="212"/>
        <v>22185000</v>
      </c>
      <c r="O691" s="34"/>
      <c r="P691" s="34"/>
      <c r="Q691" s="34"/>
      <c r="R691" s="34">
        <v>0</v>
      </c>
      <c r="S691" s="34">
        <f t="shared" si="205"/>
        <v>17748000</v>
      </c>
      <c r="T691" s="4">
        <v>0</v>
      </c>
      <c r="U691" s="4">
        <f t="shared" si="211"/>
        <v>4437000</v>
      </c>
      <c r="V691" s="34"/>
      <c r="W691" s="34"/>
      <c r="X691" s="34"/>
      <c r="Y691" s="34">
        <v>11852</v>
      </c>
      <c r="Z691" s="34">
        <f t="shared" si="208"/>
        <v>4437000</v>
      </c>
      <c r="AA691" s="4">
        <v>1442025</v>
      </c>
      <c r="AB691" s="8">
        <f t="shared" si="210"/>
        <v>1442025</v>
      </c>
      <c r="AC691" s="4">
        <f t="shared" si="203"/>
        <v>1153620</v>
      </c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</row>
    <row r="692" spans="1:61" s="37" customFormat="1" ht="27.6" customHeight="1" x14ac:dyDescent="0.2">
      <c r="A692" s="9">
        <v>679</v>
      </c>
      <c r="B692" s="58" t="s">
        <v>553</v>
      </c>
      <c r="C692" s="9" t="s">
        <v>394</v>
      </c>
      <c r="D692" s="71">
        <v>103628000</v>
      </c>
      <c r="E692" s="9"/>
      <c r="F692" s="9"/>
      <c r="G692" s="62"/>
      <c r="H692" s="54">
        <v>6.5</v>
      </c>
      <c r="I692" s="94"/>
      <c r="J692" s="94"/>
      <c r="K692" s="34"/>
      <c r="L692" s="34">
        <v>0</v>
      </c>
      <c r="M692" s="8">
        <v>103628000</v>
      </c>
      <c r="N692" s="8">
        <f t="shared" si="212"/>
        <v>103628000</v>
      </c>
      <c r="O692" s="34"/>
      <c r="P692" s="34"/>
      <c r="Q692" s="34"/>
      <c r="R692" s="34">
        <v>0</v>
      </c>
      <c r="S692" s="34">
        <f t="shared" si="205"/>
        <v>82902400</v>
      </c>
      <c r="T692" s="4">
        <v>0</v>
      </c>
      <c r="U692" s="4">
        <f t="shared" si="211"/>
        <v>20725600</v>
      </c>
      <c r="V692" s="34"/>
      <c r="W692" s="34"/>
      <c r="X692" s="34"/>
      <c r="Y692" s="34">
        <v>310884</v>
      </c>
      <c r="Z692" s="34">
        <f t="shared" si="208"/>
        <v>20725600</v>
      </c>
      <c r="AA692" s="4">
        <v>6735820</v>
      </c>
      <c r="AB692" s="8">
        <f t="shared" si="210"/>
        <v>6735820</v>
      </c>
      <c r="AC692" s="4">
        <f t="shared" si="203"/>
        <v>5388656</v>
      </c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</row>
    <row r="693" spans="1:61" s="37" customFormat="1" ht="27.6" customHeight="1" x14ac:dyDescent="0.2">
      <c r="A693" s="9">
        <v>680</v>
      </c>
      <c r="B693" s="58" t="s">
        <v>553</v>
      </c>
      <c r="C693" s="9" t="s">
        <v>394</v>
      </c>
      <c r="D693" s="71">
        <v>73436000</v>
      </c>
      <c r="E693" s="9"/>
      <c r="F693" s="9"/>
      <c r="G693" s="62"/>
      <c r="H693" s="54">
        <v>6.5</v>
      </c>
      <c r="I693" s="94"/>
      <c r="J693" s="94"/>
      <c r="K693" s="34"/>
      <c r="L693" s="34">
        <v>0</v>
      </c>
      <c r="M693" s="8">
        <v>73436000</v>
      </c>
      <c r="N693" s="8">
        <f t="shared" si="212"/>
        <v>73436000</v>
      </c>
      <c r="O693" s="34"/>
      <c r="P693" s="34"/>
      <c r="Q693" s="34"/>
      <c r="R693" s="34">
        <v>0</v>
      </c>
      <c r="S693" s="34">
        <f t="shared" si="205"/>
        <v>58748800</v>
      </c>
      <c r="T693" s="4">
        <v>0</v>
      </c>
      <c r="U693" s="4">
        <f t="shared" si="211"/>
        <v>14687200</v>
      </c>
      <c r="V693" s="34"/>
      <c r="W693" s="34"/>
      <c r="X693" s="34"/>
      <c r="Y693" s="34">
        <v>39233</v>
      </c>
      <c r="Z693" s="34">
        <f t="shared" si="208"/>
        <v>14687200</v>
      </c>
      <c r="AA693" s="4">
        <v>4773340</v>
      </c>
      <c r="AB693" s="8">
        <f t="shared" si="210"/>
        <v>4773340</v>
      </c>
      <c r="AC693" s="4">
        <f t="shared" si="203"/>
        <v>3818672</v>
      </c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</row>
    <row r="694" spans="1:61" s="37" customFormat="1" ht="27.6" customHeight="1" x14ac:dyDescent="0.2">
      <c r="A694" s="9">
        <v>681</v>
      </c>
      <c r="B694" s="58" t="s">
        <v>554</v>
      </c>
      <c r="C694" s="9" t="s">
        <v>394</v>
      </c>
      <c r="D694" s="71">
        <v>7681000</v>
      </c>
      <c r="E694" s="9"/>
      <c r="F694" s="9"/>
      <c r="G694" s="62"/>
      <c r="H694" s="54">
        <v>6.5</v>
      </c>
      <c r="I694" s="94"/>
      <c r="J694" s="94"/>
      <c r="K694" s="34"/>
      <c r="L694" s="34">
        <v>0</v>
      </c>
      <c r="M694" s="8">
        <v>7681000</v>
      </c>
      <c r="N694" s="8">
        <f t="shared" si="212"/>
        <v>7681000</v>
      </c>
      <c r="O694" s="34"/>
      <c r="P694" s="34"/>
      <c r="Q694" s="34"/>
      <c r="R694" s="34">
        <v>0</v>
      </c>
      <c r="S694" s="34">
        <f t="shared" si="205"/>
        <v>6144800</v>
      </c>
      <c r="T694" s="4">
        <v>0</v>
      </c>
      <c r="U694" s="4">
        <f t="shared" si="211"/>
        <v>1536200</v>
      </c>
      <c r="V694" s="34"/>
      <c r="W694" s="34"/>
      <c r="X694" s="34"/>
      <c r="Y694" s="34">
        <v>2736</v>
      </c>
      <c r="Z694" s="34">
        <f t="shared" si="208"/>
        <v>1536200</v>
      </c>
      <c r="AA694" s="4">
        <v>499265</v>
      </c>
      <c r="AB694" s="8">
        <f t="shared" si="210"/>
        <v>499265</v>
      </c>
      <c r="AC694" s="4">
        <f t="shared" si="203"/>
        <v>399412</v>
      </c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</row>
    <row r="695" spans="1:61" s="37" customFormat="1" ht="27.6" customHeight="1" x14ac:dyDescent="0.2">
      <c r="A695" s="9">
        <v>682</v>
      </c>
      <c r="B695" s="58" t="s">
        <v>554</v>
      </c>
      <c r="C695" s="9" t="s">
        <v>394</v>
      </c>
      <c r="D695" s="71">
        <v>2636000</v>
      </c>
      <c r="E695" s="9"/>
      <c r="F695" s="9"/>
      <c r="G695" s="62"/>
      <c r="H695" s="54">
        <v>6.5</v>
      </c>
      <c r="I695" s="94"/>
      <c r="J695" s="94"/>
      <c r="K695" s="34"/>
      <c r="L695" s="34">
        <v>0</v>
      </c>
      <c r="M695" s="8">
        <v>2636000</v>
      </c>
      <c r="N695" s="8">
        <f t="shared" si="212"/>
        <v>2636000</v>
      </c>
      <c r="O695" s="34"/>
      <c r="P695" s="34"/>
      <c r="Q695" s="34"/>
      <c r="R695" s="34">
        <v>0</v>
      </c>
      <c r="S695" s="34">
        <f t="shared" si="205"/>
        <v>2108800</v>
      </c>
      <c r="T695" s="4">
        <v>0</v>
      </c>
      <c r="U695" s="4">
        <f t="shared" si="211"/>
        <v>527200</v>
      </c>
      <c r="V695" s="34"/>
      <c r="W695" s="34"/>
      <c r="X695" s="34"/>
      <c r="Y695" s="34">
        <v>939</v>
      </c>
      <c r="Z695" s="34">
        <f t="shared" si="208"/>
        <v>527200</v>
      </c>
      <c r="AA695" s="4">
        <v>171340</v>
      </c>
      <c r="AB695" s="8">
        <f t="shared" si="210"/>
        <v>171340</v>
      </c>
      <c r="AC695" s="4">
        <f t="shared" si="203"/>
        <v>137072</v>
      </c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</row>
    <row r="696" spans="1:61" s="37" customFormat="1" ht="27.6" customHeight="1" x14ac:dyDescent="0.2">
      <c r="A696" s="9">
        <v>683</v>
      </c>
      <c r="B696" s="58" t="s">
        <v>554</v>
      </c>
      <c r="C696" s="9" t="s">
        <v>394</v>
      </c>
      <c r="D696" s="71">
        <v>7966000</v>
      </c>
      <c r="E696" s="9"/>
      <c r="F696" s="9"/>
      <c r="G696" s="62"/>
      <c r="H696" s="54">
        <v>6.5</v>
      </c>
      <c r="I696" s="94"/>
      <c r="J696" s="94"/>
      <c r="K696" s="34"/>
      <c r="L696" s="34">
        <v>0</v>
      </c>
      <c r="M696" s="8">
        <v>7966000</v>
      </c>
      <c r="N696" s="8">
        <f t="shared" si="212"/>
        <v>7966000</v>
      </c>
      <c r="O696" s="34"/>
      <c r="P696" s="34"/>
      <c r="Q696" s="34"/>
      <c r="R696" s="34">
        <v>0</v>
      </c>
      <c r="S696" s="34">
        <f t="shared" si="205"/>
        <v>6372800</v>
      </c>
      <c r="T696" s="4">
        <v>0</v>
      </c>
      <c r="U696" s="4">
        <f t="shared" si="211"/>
        <v>1593200</v>
      </c>
      <c r="V696" s="34"/>
      <c r="W696" s="34"/>
      <c r="X696" s="34"/>
      <c r="Y696" s="34">
        <v>2837</v>
      </c>
      <c r="Z696" s="34">
        <f t="shared" si="208"/>
        <v>1593200</v>
      </c>
      <c r="AA696" s="4">
        <v>517790</v>
      </c>
      <c r="AB696" s="8">
        <f t="shared" si="210"/>
        <v>517790</v>
      </c>
      <c r="AC696" s="4">
        <f t="shared" si="203"/>
        <v>414232</v>
      </c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</row>
    <row r="697" spans="1:61" s="37" customFormat="1" ht="27.6" customHeight="1" x14ac:dyDescent="0.2">
      <c r="A697" s="9">
        <v>684</v>
      </c>
      <c r="B697" s="58" t="s">
        <v>555</v>
      </c>
      <c r="C697" s="9" t="s">
        <v>394</v>
      </c>
      <c r="D697" s="71">
        <v>2966000</v>
      </c>
      <c r="E697" s="9"/>
      <c r="F697" s="9"/>
      <c r="G697" s="62"/>
      <c r="H697" s="54">
        <v>6.5</v>
      </c>
      <c r="I697" s="94"/>
      <c r="J697" s="94"/>
      <c r="K697" s="34"/>
      <c r="L697" s="34">
        <v>0</v>
      </c>
      <c r="M697" s="8">
        <v>2966000</v>
      </c>
      <c r="N697" s="8">
        <f t="shared" si="212"/>
        <v>2966000</v>
      </c>
      <c r="O697" s="34"/>
      <c r="P697" s="34"/>
      <c r="Q697" s="34"/>
      <c r="R697" s="34">
        <v>0</v>
      </c>
      <c r="S697" s="34">
        <f t="shared" si="205"/>
        <v>2372800</v>
      </c>
      <c r="T697" s="4">
        <v>0</v>
      </c>
      <c r="U697" s="4">
        <f t="shared" si="211"/>
        <v>593200</v>
      </c>
      <c r="V697" s="34"/>
      <c r="W697" s="34"/>
      <c r="X697" s="34"/>
      <c r="Y697" s="34">
        <v>528</v>
      </c>
      <c r="Z697" s="34">
        <f t="shared" si="208"/>
        <v>593200</v>
      </c>
      <c r="AA697" s="4">
        <v>192790</v>
      </c>
      <c r="AB697" s="8">
        <f t="shared" si="210"/>
        <v>192790</v>
      </c>
      <c r="AC697" s="4">
        <f t="shared" si="203"/>
        <v>154232</v>
      </c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</row>
    <row r="698" spans="1:61" s="37" customFormat="1" ht="27.6" customHeight="1" x14ac:dyDescent="0.2">
      <c r="A698" s="9">
        <v>685</v>
      </c>
      <c r="B698" s="58" t="s">
        <v>556</v>
      </c>
      <c r="C698" s="9" t="s">
        <v>394</v>
      </c>
      <c r="D698" s="71">
        <v>29094000</v>
      </c>
      <c r="E698" s="9"/>
      <c r="F698" s="9"/>
      <c r="G698" s="62"/>
      <c r="H698" s="54">
        <v>7.5</v>
      </c>
      <c r="I698" s="94"/>
      <c r="J698" s="94"/>
      <c r="K698" s="34"/>
      <c r="L698" s="34"/>
      <c r="M698" s="8">
        <f>N698</f>
        <v>29094000</v>
      </c>
      <c r="N698" s="8">
        <v>29094000</v>
      </c>
      <c r="O698" s="34"/>
      <c r="P698" s="34"/>
      <c r="Q698" s="34"/>
      <c r="R698" s="34"/>
      <c r="S698" s="34">
        <f>N698-U698</f>
        <v>29094000</v>
      </c>
      <c r="T698" s="4">
        <v>0</v>
      </c>
      <c r="U698" s="4">
        <v>0</v>
      </c>
      <c r="V698" s="34"/>
      <c r="W698" s="34"/>
      <c r="X698" s="34"/>
      <c r="Y698" s="34"/>
      <c r="Z698" s="34">
        <f>D698/5</f>
        <v>5818800</v>
      </c>
      <c r="AA698" s="4">
        <v>1793466</v>
      </c>
      <c r="AB698" s="8">
        <v>2182050</v>
      </c>
      <c r="AC698" s="4">
        <f t="shared" si="203"/>
        <v>2182050</v>
      </c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</row>
    <row r="699" spans="1:61" s="37" customFormat="1" ht="27.6" customHeight="1" x14ac:dyDescent="0.2">
      <c r="A699" s="9">
        <v>686</v>
      </c>
      <c r="B699" s="58" t="s">
        <v>557</v>
      </c>
      <c r="C699" s="9" t="s">
        <v>394</v>
      </c>
      <c r="D699" s="71">
        <v>18240000</v>
      </c>
      <c r="E699" s="9"/>
      <c r="F699" s="9"/>
      <c r="G699" s="62"/>
      <c r="H699" s="54">
        <v>7.5</v>
      </c>
      <c r="I699" s="94"/>
      <c r="J699" s="94"/>
      <c r="K699" s="34"/>
      <c r="L699" s="34"/>
      <c r="M699" s="8">
        <f t="shared" ref="M699:M757" si="213">N699</f>
        <v>18240000</v>
      </c>
      <c r="N699" s="8">
        <v>18240000</v>
      </c>
      <c r="O699" s="34"/>
      <c r="P699" s="34"/>
      <c r="Q699" s="34"/>
      <c r="R699" s="34"/>
      <c r="S699" s="34">
        <f t="shared" ref="S699:S757" si="214">N699-U699</f>
        <v>18240000</v>
      </c>
      <c r="T699" s="4">
        <v>0</v>
      </c>
      <c r="U699" s="4">
        <v>0</v>
      </c>
      <c r="V699" s="34"/>
      <c r="W699" s="34"/>
      <c r="X699" s="34"/>
      <c r="Y699" s="34"/>
      <c r="Z699" s="34">
        <f t="shared" ref="Z699:Z757" si="215">D699/5</f>
        <v>3648000</v>
      </c>
      <c r="AA699" s="4">
        <v>1109392</v>
      </c>
      <c r="AB699" s="8">
        <v>1368000</v>
      </c>
      <c r="AC699" s="4">
        <f t="shared" si="203"/>
        <v>1368000</v>
      </c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</row>
    <row r="700" spans="1:61" s="37" customFormat="1" ht="27.6" customHeight="1" x14ac:dyDescent="0.2">
      <c r="A700" s="9">
        <v>687</v>
      </c>
      <c r="B700" s="58" t="s">
        <v>561</v>
      </c>
      <c r="C700" s="9" t="s">
        <v>394</v>
      </c>
      <c r="D700" s="71">
        <v>6785000</v>
      </c>
      <c r="E700" s="9"/>
      <c r="F700" s="9"/>
      <c r="G700" s="62"/>
      <c r="H700" s="54">
        <v>7.5</v>
      </c>
      <c r="I700" s="94"/>
      <c r="J700" s="94"/>
      <c r="K700" s="34"/>
      <c r="L700" s="34"/>
      <c r="M700" s="8">
        <f t="shared" si="213"/>
        <v>6785000</v>
      </c>
      <c r="N700" s="8">
        <v>6785000</v>
      </c>
      <c r="O700" s="34"/>
      <c r="P700" s="34"/>
      <c r="Q700" s="34"/>
      <c r="R700" s="34"/>
      <c r="S700" s="34">
        <f t="shared" si="214"/>
        <v>6785000</v>
      </c>
      <c r="T700" s="4">
        <v>0</v>
      </c>
      <c r="U700" s="4">
        <v>0</v>
      </c>
      <c r="V700" s="34"/>
      <c r="W700" s="34"/>
      <c r="X700" s="34"/>
      <c r="Y700" s="34"/>
      <c r="Z700" s="34">
        <f t="shared" si="215"/>
        <v>1357000</v>
      </c>
      <c r="AA700" s="8">
        <f>AB700/365*286</f>
        <v>398734.9315068493</v>
      </c>
      <c r="AB700" s="8">
        <f>N700*7.5/100</f>
        <v>508875</v>
      </c>
      <c r="AC700" s="4">
        <f t="shared" si="203"/>
        <v>508875</v>
      </c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</row>
    <row r="701" spans="1:61" s="37" customFormat="1" ht="27.6" customHeight="1" x14ac:dyDescent="0.2">
      <c r="A701" s="9">
        <v>688</v>
      </c>
      <c r="B701" s="58" t="s">
        <v>561</v>
      </c>
      <c r="C701" s="9" t="s">
        <v>394</v>
      </c>
      <c r="D701" s="71">
        <v>5084000</v>
      </c>
      <c r="E701" s="9"/>
      <c r="F701" s="9"/>
      <c r="G701" s="62"/>
      <c r="H701" s="54">
        <v>7.5</v>
      </c>
      <c r="I701" s="94"/>
      <c r="J701" s="94"/>
      <c r="K701" s="34"/>
      <c r="L701" s="34"/>
      <c r="M701" s="8">
        <f t="shared" si="213"/>
        <v>5084000</v>
      </c>
      <c r="N701" s="8">
        <v>5084000</v>
      </c>
      <c r="O701" s="34"/>
      <c r="P701" s="34"/>
      <c r="Q701" s="34"/>
      <c r="R701" s="34"/>
      <c r="S701" s="34">
        <f t="shared" si="214"/>
        <v>5084000</v>
      </c>
      <c r="T701" s="4">
        <v>0</v>
      </c>
      <c r="U701" s="4">
        <v>0</v>
      </c>
      <c r="V701" s="34"/>
      <c r="W701" s="34"/>
      <c r="X701" s="34"/>
      <c r="Y701" s="34"/>
      <c r="Z701" s="34">
        <f t="shared" si="215"/>
        <v>1016800</v>
      </c>
      <c r="AA701" s="8">
        <f>AB701/365*286</f>
        <v>298772.05479452055</v>
      </c>
      <c r="AB701" s="8">
        <f t="shared" ref="AB701:AB739" si="216">N701*7.5/100</f>
        <v>381300</v>
      </c>
      <c r="AC701" s="4">
        <f t="shared" ref="AC701:AC764" si="217">S701*H701%</f>
        <v>381300</v>
      </c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</row>
    <row r="702" spans="1:61" s="37" customFormat="1" ht="27.6" customHeight="1" x14ac:dyDescent="0.2">
      <c r="A702" s="9">
        <v>689</v>
      </c>
      <c r="B702" s="58" t="s">
        <v>561</v>
      </c>
      <c r="C702" s="9" t="s">
        <v>394</v>
      </c>
      <c r="D702" s="71">
        <v>74507000</v>
      </c>
      <c r="E702" s="9"/>
      <c r="F702" s="9"/>
      <c r="G702" s="62"/>
      <c r="H702" s="54">
        <v>7.5</v>
      </c>
      <c r="I702" s="94"/>
      <c r="J702" s="94"/>
      <c r="K702" s="34"/>
      <c r="L702" s="34"/>
      <c r="M702" s="8">
        <f t="shared" si="213"/>
        <v>74507000</v>
      </c>
      <c r="N702" s="8">
        <v>74507000</v>
      </c>
      <c r="O702" s="34"/>
      <c r="P702" s="34"/>
      <c r="Q702" s="34"/>
      <c r="R702" s="34"/>
      <c r="S702" s="34">
        <f t="shared" si="214"/>
        <v>74507000</v>
      </c>
      <c r="T702" s="4">
        <v>0</v>
      </c>
      <c r="U702" s="4">
        <v>0</v>
      </c>
      <c r="V702" s="34"/>
      <c r="W702" s="34"/>
      <c r="X702" s="34"/>
      <c r="Y702" s="34"/>
      <c r="Z702" s="34">
        <f t="shared" si="215"/>
        <v>14901400</v>
      </c>
      <c r="AA702" s="8">
        <f>AB702/365*286</f>
        <v>4378562.0547945201</v>
      </c>
      <c r="AB702" s="8">
        <f t="shared" si="216"/>
        <v>5588025</v>
      </c>
      <c r="AC702" s="4">
        <f t="shared" si="217"/>
        <v>5588025</v>
      </c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</row>
    <row r="703" spans="1:61" s="37" customFormat="1" ht="27.6" customHeight="1" x14ac:dyDescent="0.2">
      <c r="A703" s="9">
        <v>690</v>
      </c>
      <c r="B703" s="58" t="s">
        <v>565</v>
      </c>
      <c r="C703" s="9" t="s">
        <v>394</v>
      </c>
      <c r="D703" s="71">
        <v>26921000</v>
      </c>
      <c r="E703" s="9"/>
      <c r="F703" s="9"/>
      <c r="G703" s="62"/>
      <c r="H703" s="54">
        <v>7.5</v>
      </c>
      <c r="I703" s="94"/>
      <c r="J703" s="94"/>
      <c r="K703" s="34"/>
      <c r="L703" s="34"/>
      <c r="M703" s="8">
        <f t="shared" si="213"/>
        <v>26921000</v>
      </c>
      <c r="N703" s="8">
        <v>26921000</v>
      </c>
      <c r="O703" s="34"/>
      <c r="P703" s="34"/>
      <c r="Q703" s="34"/>
      <c r="R703" s="34"/>
      <c r="S703" s="34">
        <f t="shared" si="214"/>
        <v>26921000</v>
      </c>
      <c r="T703" s="4">
        <v>0</v>
      </c>
      <c r="U703" s="4">
        <v>0</v>
      </c>
      <c r="V703" s="34"/>
      <c r="W703" s="34"/>
      <c r="X703" s="34"/>
      <c r="Y703" s="34"/>
      <c r="Z703" s="34">
        <f t="shared" si="215"/>
        <v>5384200</v>
      </c>
      <c r="AA703" s="8">
        <f>AB703/365*268</f>
        <v>1482498.9041095891</v>
      </c>
      <c r="AB703" s="8">
        <f t="shared" si="216"/>
        <v>2019075</v>
      </c>
      <c r="AC703" s="4">
        <f t="shared" si="217"/>
        <v>2019075</v>
      </c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</row>
    <row r="704" spans="1:61" s="37" customFormat="1" ht="27.6" customHeight="1" x14ac:dyDescent="0.2">
      <c r="A704" s="9">
        <v>691</v>
      </c>
      <c r="B704" s="58" t="s">
        <v>565</v>
      </c>
      <c r="C704" s="9" t="s">
        <v>394</v>
      </c>
      <c r="D704" s="71">
        <v>4812000</v>
      </c>
      <c r="E704" s="9"/>
      <c r="F704" s="9"/>
      <c r="G704" s="62"/>
      <c r="H704" s="54">
        <v>7.5</v>
      </c>
      <c r="I704" s="94"/>
      <c r="J704" s="94"/>
      <c r="K704" s="34"/>
      <c r="L704" s="34"/>
      <c r="M704" s="8">
        <f t="shared" si="213"/>
        <v>4812000</v>
      </c>
      <c r="N704" s="8">
        <v>4812000</v>
      </c>
      <c r="O704" s="34"/>
      <c r="P704" s="34"/>
      <c r="Q704" s="34"/>
      <c r="R704" s="34"/>
      <c r="S704" s="34">
        <f t="shared" si="214"/>
        <v>4812000</v>
      </c>
      <c r="T704" s="4">
        <v>0</v>
      </c>
      <c r="U704" s="4">
        <v>0</v>
      </c>
      <c r="V704" s="34"/>
      <c r="W704" s="34"/>
      <c r="X704" s="34"/>
      <c r="Y704" s="34"/>
      <c r="Z704" s="34">
        <f t="shared" si="215"/>
        <v>962400</v>
      </c>
      <c r="AA704" s="8">
        <f>AB704/365*268</f>
        <v>264989.58904109587</v>
      </c>
      <c r="AB704" s="8">
        <f t="shared" si="216"/>
        <v>360900</v>
      </c>
      <c r="AC704" s="4">
        <f t="shared" si="217"/>
        <v>360900</v>
      </c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</row>
    <row r="705" spans="1:61" s="37" customFormat="1" ht="27.6" customHeight="1" x14ac:dyDescent="0.2">
      <c r="A705" s="9">
        <v>692</v>
      </c>
      <c r="B705" s="58" t="s">
        <v>566</v>
      </c>
      <c r="C705" s="9" t="s">
        <v>394</v>
      </c>
      <c r="D705" s="71">
        <v>8904000</v>
      </c>
      <c r="E705" s="9"/>
      <c r="F705" s="9"/>
      <c r="G705" s="62"/>
      <c r="H705" s="54">
        <v>7.5</v>
      </c>
      <c r="I705" s="94"/>
      <c r="J705" s="94"/>
      <c r="K705" s="34"/>
      <c r="L705" s="34"/>
      <c r="M705" s="8">
        <f t="shared" si="213"/>
        <v>8904000</v>
      </c>
      <c r="N705" s="8">
        <v>8904000</v>
      </c>
      <c r="O705" s="34"/>
      <c r="P705" s="34"/>
      <c r="Q705" s="34"/>
      <c r="R705" s="34"/>
      <c r="S705" s="34">
        <f t="shared" si="214"/>
        <v>8904000</v>
      </c>
      <c r="T705" s="4">
        <v>0</v>
      </c>
      <c r="U705" s="4">
        <v>0</v>
      </c>
      <c r="V705" s="34"/>
      <c r="W705" s="34"/>
      <c r="X705" s="34"/>
      <c r="Y705" s="34"/>
      <c r="Z705" s="34">
        <f t="shared" si="215"/>
        <v>1780800</v>
      </c>
      <c r="AA705" s="8">
        <f>AB705/365*250</f>
        <v>457397.26027397264</v>
      </c>
      <c r="AB705" s="8">
        <f t="shared" si="216"/>
        <v>667800</v>
      </c>
      <c r="AC705" s="4">
        <f t="shared" si="217"/>
        <v>667800</v>
      </c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</row>
    <row r="706" spans="1:61" s="37" customFormat="1" ht="27.6" customHeight="1" x14ac:dyDescent="0.2">
      <c r="A706" s="9">
        <v>693</v>
      </c>
      <c r="B706" s="58" t="s">
        <v>569</v>
      </c>
      <c r="C706" s="9" t="s">
        <v>394</v>
      </c>
      <c r="D706" s="71">
        <v>7217000</v>
      </c>
      <c r="E706" s="9"/>
      <c r="F706" s="9"/>
      <c r="G706" s="62"/>
      <c r="H706" s="54">
        <v>7.5</v>
      </c>
      <c r="I706" s="94"/>
      <c r="J706" s="94"/>
      <c r="K706" s="34"/>
      <c r="L706" s="34"/>
      <c r="M706" s="8">
        <f t="shared" si="213"/>
        <v>7217000</v>
      </c>
      <c r="N706" s="8">
        <v>7217000</v>
      </c>
      <c r="O706" s="34"/>
      <c r="P706" s="34"/>
      <c r="Q706" s="34"/>
      <c r="R706" s="34"/>
      <c r="S706" s="34">
        <f t="shared" si="214"/>
        <v>7217000</v>
      </c>
      <c r="T706" s="4">
        <v>0</v>
      </c>
      <c r="U706" s="4">
        <v>0</v>
      </c>
      <c r="V706" s="34"/>
      <c r="W706" s="34"/>
      <c r="X706" s="34"/>
      <c r="Y706" s="34"/>
      <c r="Z706" s="34">
        <f t="shared" si="215"/>
        <v>1443400</v>
      </c>
      <c r="AA706" s="8">
        <f>AB706/365*224</f>
        <v>332179.72602739721</v>
      </c>
      <c r="AB706" s="8">
        <f t="shared" si="216"/>
        <v>541275</v>
      </c>
      <c r="AC706" s="4">
        <f t="shared" si="217"/>
        <v>541275</v>
      </c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</row>
    <row r="707" spans="1:61" s="37" customFormat="1" ht="27.6" customHeight="1" x14ac:dyDescent="0.2">
      <c r="A707" s="9">
        <v>694</v>
      </c>
      <c r="B707" s="58" t="s">
        <v>569</v>
      </c>
      <c r="C707" s="9" t="s">
        <v>394</v>
      </c>
      <c r="D707" s="71">
        <v>13650000</v>
      </c>
      <c r="E707" s="9"/>
      <c r="F707" s="9"/>
      <c r="G707" s="62"/>
      <c r="H707" s="54">
        <v>7.5</v>
      </c>
      <c r="I707" s="94"/>
      <c r="J707" s="94"/>
      <c r="K707" s="34"/>
      <c r="L707" s="34"/>
      <c r="M707" s="8">
        <f t="shared" si="213"/>
        <v>13650000</v>
      </c>
      <c r="N707" s="8">
        <v>13650000</v>
      </c>
      <c r="O707" s="34"/>
      <c r="P707" s="34"/>
      <c r="Q707" s="34"/>
      <c r="R707" s="34"/>
      <c r="S707" s="34">
        <f t="shared" si="214"/>
        <v>13650000</v>
      </c>
      <c r="T707" s="4">
        <v>0</v>
      </c>
      <c r="U707" s="4">
        <v>0</v>
      </c>
      <c r="V707" s="34"/>
      <c r="W707" s="34"/>
      <c r="X707" s="34"/>
      <c r="Y707" s="34"/>
      <c r="Z707" s="34">
        <f t="shared" si="215"/>
        <v>2730000</v>
      </c>
      <c r="AA707" s="8">
        <f>AB707/365*224</f>
        <v>628273.9726027397</v>
      </c>
      <c r="AB707" s="8">
        <f t="shared" si="216"/>
        <v>1023750</v>
      </c>
      <c r="AC707" s="4">
        <f t="shared" si="217"/>
        <v>1023750</v>
      </c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</row>
    <row r="708" spans="1:61" s="37" customFormat="1" ht="27.6" customHeight="1" x14ac:dyDescent="0.2">
      <c r="A708" s="9">
        <v>695</v>
      </c>
      <c r="B708" s="58" t="s">
        <v>570</v>
      </c>
      <c r="C708" s="9" t="s">
        <v>394</v>
      </c>
      <c r="D708" s="71">
        <v>37795000</v>
      </c>
      <c r="E708" s="9"/>
      <c r="F708" s="9"/>
      <c r="G708" s="62"/>
      <c r="H708" s="54">
        <v>7.5</v>
      </c>
      <c r="I708" s="94"/>
      <c r="J708" s="94"/>
      <c r="K708" s="34"/>
      <c r="L708" s="34"/>
      <c r="M708" s="8">
        <f t="shared" si="213"/>
        <v>37795000</v>
      </c>
      <c r="N708" s="8">
        <v>37795000</v>
      </c>
      <c r="O708" s="34"/>
      <c r="P708" s="34"/>
      <c r="Q708" s="34"/>
      <c r="R708" s="34"/>
      <c r="S708" s="34">
        <f t="shared" si="214"/>
        <v>37795000</v>
      </c>
      <c r="T708" s="4">
        <v>0</v>
      </c>
      <c r="U708" s="4">
        <v>0</v>
      </c>
      <c r="V708" s="34"/>
      <c r="W708" s="34"/>
      <c r="X708" s="34"/>
      <c r="Y708" s="34"/>
      <c r="Z708" s="34">
        <f t="shared" si="215"/>
        <v>7559000</v>
      </c>
      <c r="AA708" s="8">
        <f>AB708/365*222</f>
        <v>1724073.2876712331</v>
      </c>
      <c r="AB708" s="8">
        <f t="shared" si="216"/>
        <v>2834625</v>
      </c>
      <c r="AC708" s="4">
        <f t="shared" si="217"/>
        <v>2834625</v>
      </c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</row>
    <row r="709" spans="1:61" s="37" customFormat="1" ht="27.6" customHeight="1" x14ac:dyDescent="0.2">
      <c r="A709" s="9">
        <v>696</v>
      </c>
      <c r="B709" s="58" t="s">
        <v>570</v>
      </c>
      <c r="C709" s="9" t="s">
        <v>394</v>
      </c>
      <c r="D709" s="71">
        <v>7115000</v>
      </c>
      <c r="E709" s="9"/>
      <c r="F709" s="9"/>
      <c r="G709" s="62"/>
      <c r="H709" s="54">
        <v>7.5</v>
      </c>
      <c r="I709" s="94"/>
      <c r="J709" s="94"/>
      <c r="K709" s="34"/>
      <c r="L709" s="34"/>
      <c r="M709" s="8">
        <f t="shared" si="213"/>
        <v>7115000</v>
      </c>
      <c r="N709" s="8">
        <v>7115000</v>
      </c>
      <c r="O709" s="34"/>
      <c r="P709" s="34"/>
      <c r="Q709" s="34"/>
      <c r="R709" s="34"/>
      <c r="S709" s="34">
        <f t="shared" si="214"/>
        <v>7115000</v>
      </c>
      <c r="T709" s="4">
        <v>0</v>
      </c>
      <c r="U709" s="4">
        <v>0</v>
      </c>
      <c r="V709" s="34"/>
      <c r="W709" s="34"/>
      <c r="X709" s="34"/>
      <c r="Y709" s="34"/>
      <c r="Z709" s="34">
        <f t="shared" si="215"/>
        <v>1423000</v>
      </c>
      <c r="AA709" s="8">
        <f>AB709/365*222</f>
        <v>324560.9589041096</v>
      </c>
      <c r="AB709" s="8">
        <f t="shared" si="216"/>
        <v>533625</v>
      </c>
      <c r="AC709" s="4">
        <f t="shared" si="217"/>
        <v>533625</v>
      </c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</row>
    <row r="710" spans="1:61" s="37" customFormat="1" ht="27.6" customHeight="1" x14ac:dyDescent="0.2">
      <c r="A710" s="9">
        <v>697</v>
      </c>
      <c r="B710" s="58" t="s">
        <v>574</v>
      </c>
      <c r="C710" s="9" t="s">
        <v>394</v>
      </c>
      <c r="D710" s="71">
        <v>9752000</v>
      </c>
      <c r="E710" s="9"/>
      <c r="F710" s="9"/>
      <c r="G710" s="62"/>
      <c r="H710" s="54">
        <v>7.5</v>
      </c>
      <c r="I710" s="94"/>
      <c r="J710" s="94"/>
      <c r="K710" s="34"/>
      <c r="L710" s="34"/>
      <c r="M710" s="8">
        <f t="shared" si="213"/>
        <v>9752000</v>
      </c>
      <c r="N710" s="8">
        <v>9752000</v>
      </c>
      <c r="O710" s="34"/>
      <c r="P710" s="34"/>
      <c r="Q710" s="34"/>
      <c r="R710" s="34"/>
      <c r="S710" s="34">
        <f t="shared" si="214"/>
        <v>9752000</v>
      </c>
      <c r="T710" s="4">
        <v>0</v>
      </c>
      <c r="U710" s="4">
        <v>0</v>
      </c>
      <c r="V710" s="34"/>
      <c r="W710" s="34"/>
      <c r="X710" s="34"/>
      <c r="Y710" s="34"/>
      <c r="Z710" s="34">
        <f t="shared" si="215"/>
        <v>1950400</v>
      </c>
      <c r="AA710" s="8">
        <f>AB710/365*205</f>
        <v>410786.30136986298</v>
      </c>
      <c r="AB710" s="8">
        <f t="shared" si="216"/>
        <v>731400</v>
      </c>
      <c r="AC710" s="4">
        <f t="shared" si="217"/>
        <v>731400</v>
      </c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</row>
    <row r="711" spans="1:61" s="37" customFormat="1" ht="27.6" customHeight="1" x14ac:dyDescent="0.2">
      <c r="A711" s="9">
        <v>698</v>
      </c>
      <c r="B711" s="58" t="s">
        <v>574</v>
      </c>
      <c r="C711" s="9" t="s">
        <v>394</v>
      </c>
      <c r="D711" s="71">
        <v>13678000</v>
      </c>
      <c r="E711" s="9"/>
      <c r="F711" s="9"/>
      <c r="G711" s="62"/>
      <c r="H711" s="54">
        <v>7.5</v>
      </c>
      <c r="I711" s="94"/>
      <c r="J711" s="94"/>
      <c r="K711" s="34"/>
      <c r="L711" s="34"/>
      <c r="M711" s="8">
        <f t="shared" si="213"/>
        <v>13678000</v>
      </c>
      <c r="N711" s="8">
        <v>13678000</v>
      </c>
      <c r="O711" s="34"/>
      <c r="P711" s="34"/>
      <c r="Q711" s="34"/>
      <c r="R711" s="34"/>
      <c r="S711" s="34">
        <f t="shared" si="214"/>
        <v>13678000</v>
      </c>
      <c r="T711" s="4">
        <v>0</v>
      </c>
      <c r="U711" s="4">
        <v>0</v>
      </c>
      <c r="V711" s="34"/>
      <c r="W711" s="34"/>
      <c r="X711" s="34"/>
      <c r="Y711" s="34"/>
      <c r="Z711" s="34">
        <f t="shared" si="215"/>
        <v>2735600</v>
      </c>
      <c r="AA711" s="8">
        <f>AB711/365*205</f>
        <v>576162.32876712328</v>
      </c>
      <c r="AB711" s="8">
        <f t="shared" si="216"/>
        <v>1025850</v>
      </c>
      <c r="AC711" s="4">
        <f t="shared" si="217"/>
        <v>1025850</v>
      </c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</row>
    <row r="712" spans="1:61" s="37" customFormat="1" ht="27.6" customHeight="1" x14ac:dyDescent="0.2">
      <c r="A712" s="9">
        <v>699</v>
      </c>
      <c r="B712" s="58" t="s">
        <v>574</v>
      </c>
      <c r="C712" s="9" t="s">
        <v>394</v>
      </c>
      <c r="D712" s="71">
        <v>6539000</v>
      </c>
      <c r="E712" s="9"/>
      <c r="F712" s="9"/>
      <c r="G712" s="62"/>
      <c r="H712" s="54">
        <v>7.5</v>
      </c>
      <c r="I712" s="94"/>
      <c r="J712" s="94"/>
      <c r="K712" s="34"/>
      <c r="L712" s="34"/>
      <c r="M712" s="8">
        <f t="shared" si="213"/>
        <v>6539000</v>
      </c>
      <c r="N712" s="8">
        <v>6539000</v>
      </c>
      <c r="O712" s="34"/>
      <c r="P712" s="34"/>
      <c r="Q712" s="34"/>
      <c r="R712" s="34"/>
      <c r="S712" s="34">
        <f t="shared" si="214"/>
        <v>6539000</v>
      </c>
      <c r="T712" s="4">
        <v>0</v>
      </c>
      <c r="U712" s="4">
        <v>0</v>
      </c>
      <c r="V712" s="34"/>
      <c r="W712" s="34"/>
      <c r="X712" s="34"/>
      <c r="Y712" s="34"/>
      <c r="Z712" s="34">
        <f t="shared" si="215"/>
        <v>1307800</v>
      </c>
      <c r="AA712" s="8">
        <f>AB712/365*205</f>
        <v>275444.17808219179</v>
      </c>
      <c r="AB712" s="8">
        <f t="shared" si="216"/>
        <v>490425</v>
      </c>
      <c r="AC712" s="4">
        <f t="shared" si="217"/>
        <v>490425</v>
      </c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</row>
    <row r="713" spans="1:61" s="37" customFormat="1" ht="27.6" customHeight="1" x14ac:dyDescent="0.2">
      <c r="A713" s="9">
        <v>700</v>
      </c>
      <c r="B713" s="58" t="s">
        <v>574</v>
      </c>
      <c r="C713" s="9" t="s">
        <v>394</v>
      </c>
      <c r="D713" s="71">
        <v>18662000</v>
      </c>
      <c r="E713" s="9"/>
      <c r="F713" s="9"/>
      <c r="G713" s="62"/>
      <c r="H713" s="54">
        <v>7.5</v>
      </c>
      <c r="I713" s="94"/>
      <c r="J713" s="94"/>
      <c r="K713" s="34"/>
      <c r="L713" s="34"/>
      <c r="M713" s="8">
        <f t="shared" si="213"/>
        <v>18662000</v>
      </c>
      <c r="N713" s="8">
        <v>18662000</v>
      </c>
      <c r="O713" s="34"/>
      <c r="P713" s="34"/>
      <c r="Q713" s="34"/>
      <c r="R713" s="34"/>
      <c r="S713" s="34">
        <f t="shared" si="214"/>
        <v>18662000</v>
      </c>
      <c r="T713" s="4">
        <v>0</v>
      </c>
      <c r="U713" s="4">
        <v>0</v>
      </c>
      <c r="V713" s="34"/>
      <c r="W713" s="34"/>
      <c r="X713" s="34"/>
      <c r="Y713" s="34"/>
      <c r="Z713" s="34">
        <f t="shared" si="215"/>
        <v>3732400</v>
      </c>
      <c r="AA713" s="8">
        <f>AB713/365*205</f>
        <v>786104.79452054796</v>
      </c>
      <c r="AB713" s="8">
        <f t="shared" si="216"/>
        <v>1399650</v>
      </c>
      <c r="AC713" s="4">
        <f t="shared" si="217"/>
        <v>1399650</v>
      </c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</row>
    <row r="714" spans="1:61" s="37" customFormat="1" ht="27.6" customHeight="1" x14ac:dyDescent="0.2">
      <c r="A714" s="9">
        <v>701</v>
      </c>
      <c r="B714" s="58" t="s">
        <v>576</v>
      </c>
      <c r="C714" s="9" t="s">
        <v>394</v>
      </c>
      <c r="D714" s="71">
        <v>3729000</v>
      </c>
      <c r="E714" s="9"/>
      <c r="F714" s="9"/>
      <c r="G714" s="62"/>
      <c r="H714" s="54">
        <v>7.5</v>
      </c>
      <c r="I714" s="94"/>
      <c r="J714" s="94"/>
      <c r="K714" s="34"/>
      <c r="L714" s="34"/>
      <c r="M714" s="8">
        <f t="shared" si="213"/>
        <v>3729000</v>
      </c>
      <c r="N714" s="8">
        <v>3729000</v>
      </c>
      <c r="O714" s="34"/>
      <c r="P714" s="34"/>
      <c r="Q714" s="34"/>
      <c r="R714" s="34"/>
      <c r="S714" s="34">
        <f t="shared" si="214"/>
        <v>3729000</v>
      </c>
      <c r="T714" s="4">
        <v>0</v>
      </c>
      <c r="U714" s="4">
        <v>0</v>
      </c>
      <c r="V714" s="34"/>
      <c r="W714" s="34"/>
      <c r="X714" s="34"/>
      <c r="Y714" s="34"/>
      <c r="Z714" s="34">
        <f t="shared" si="215"/>
        <v>745800</v>
      </c>
      <c r="AA714" s="8">
        <f>AB714/365*191</f>
        <v>146350.4794520548</v>
      </c>
      <c r="AB714" s="8">
        <f t="shared" si="216"/>
        <v>279675</v>
      </c>
      <c r="AC714" s="4">
        <f t="shared" si="217"/>
        <v>279675</v>
      </c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</row>
    <row r="715" spans="1:61" s="37" customFormat="1" ht="27.6" customHeight="1" x14ac:dyDescent="0.2">
      <c r="A715" s="9">
        <v>702</v>
      </c>
      <c r="B715" s="58" t="s">
        <v>580</v>
      </c>
      <c r="C715" s="9" t="s">
        <v>394</v>
      </c>
      <c r="D715" s="71">
        <v>21527000</v>
      </c>
      <c r="E715" s="9"/>
      <c r="F715" s="9"/>
      <c r="G715" s="62"/>
      <c r="H715" s="54">
        <v>7.5</v>
      </c>
      <c r="I715" s="94"/>
      <c r="J715" s="94"/>
      <c r="K715" s="34"/>
      <c r="L715" s="34"/>
      <c r="M715" s="8">
        <f t="shared" si="213"/>
        <v>21527000</v>
      </c>
      <c r="N715" s="8">
        <v>21527000</v>
      </c>
      <c r="O715" s="34"/>
      <c r="P715" s="34"/>
      <c r="Q715" s="34"/>
      <c r="R715" s="34"/>
      <c r="S715" s="34">
        <f t="shared" si="214"/>
        <v>21527000</v>
      </c>
      <c r="T715" s="4">
        <v>0</v>
      </c>
      <c r="U715" s="4">
        <v>0</v>
      </c>
      <c r="V715" s="34"/>
      <c r="W715" s="34"/>
      <c r="X715" s="34"/>
      <c r="Y715" s="34"/>
      <c r="Z715" s="34">
        <f t="shared" si="215"/>
        <v>4305400</v>
      </c>
      <c r="AA715" s="8">
        <f>AB715/365*180</f>
        <v>796204.10958904109</v>
      </c>
      <c r="AB715" s="8">
        <f t="shared" si="216"/>
        <v>1614525</v>
      </c>
      <c r="AC715" s="4">
        <f t="shared" si="217"/>
        <v>1614525</v>
      </c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</row>
    <row r="716" spans="1:61" s="37" customFormat="1" ht="27.6" customHeight="1" x14ac:dyDescent="0.2">
      <c r="A716" s="9">
        <v>703</v>
      </c>
      <c r="B716" s="58" t="s">
        <v>581</v>
      </c>
      <c r="C716" s="9" t="s">
        <v>394</v>
      </c>
      <c r="D716" s="71">
        <v>6008000</v>
      </c>
      <c r="E716" s="9"/>
      <c r="F716" s="9"/>
      <c r="G716" s="62"/>
      <c r="H716" s="54">
        <v>7.5</v>
      </c>
      <c r="I716" s="94"/>
      <c r="J716" s="94"/>
      <c r="K716" s="34"/>
      <c r="L716" s="34"/>
      <c r="M716" s="8">
        <f t="shared" si="213"/>
        <v>6008000</v>
      </c>
      <c r="N716" s="8">
        <v>6008000</v>
      </c>
      <c r="O716" s="34"/>
      <c r="P716" s="34"/>
      <c r="Q716" s="34"/>
      <c r="R716" s="34"/>
      <c r="S716" s="34">
        <f t="shared" si="214"/>
        <v>6008000</v>
      </c>
      <c r="T716" s="4">
        <v>0</v>
      </c>
      <c r="U716" s="4">
        <v>0</v>
      </c>
      <c r="V716" s="34"/>
      <c r="W716" s="34"/>
      <c r="X716" s="34"/>
      <c r="Y716" s="34"/>
      <c r="Z716" s="34">
        <f t="shared" si="215"/>
        <v>1201600</v>
      </c>
      <c r="AA716" s="8">
        <f>AB716/365*160</f>
        <v>197523.28767123286</v>
      </c>
      <c r="AB716" s="8">
        <f t="shared" si="216"/>
        <v>450600</v>
      </c>
      <c r="AC716" s="4">
        <f t="shared" si="217"/>
        <v>450600</v>
      </c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</row>
    <row r="717" spans="1:61" s="37" customFormat="1" ht="27.6" customHeight="1" x14ac:dyDescent="0.2">
      <c r="A717" s="9">
        <v>704</v>
      </c>
      <c r="B717" s="58" t="s">
        <v>581</v>
      </c>
      <c r="C717" s="9" t="s">
        <v>394</v>
      </c>
      <c r="D717" s="71">
        <v>2842000</v>
      </c>
      <c r="E717" s="9"/>
      <c r="F717" s="9"/>
      <c r="G717" s="62"/>
      <c r="H717" s="54">
        <v>7.5</v>
      </c>
      <c r="I717" s="94"/>
      <c r="J717" s="94"/>
      <c r="K717" s="34"/>
      <c r="L717" s="34"/>
      <c r="M717" s="8">
        <f t="shared" si="213"/>
        <v>2842000</v>
      </c>
      <c r="N717" s="8">
        <v>2842000</v>
      </c>
      <c r="O717" s="34"/>
      <c r="P717" s="34"/>
      <c r="Q717" s="34"/>
      <c r="R717" s="34"/>
      <c r="S717" s="34">
        <f t="shared" si="214"/>
        <v>2842000</v>
      </c>
      <c r="T717" s="4">
        <v>0</v>
      </c>
      <c r="U717" s="4">
        <v>0</v>
      </c>
      <c r="V717" s="34"/>
      <c r="W717" s="34"/>
      <c r="X717" s="34"/>
      <c r="Y717" s="34"/>
      <c r="Z717" s="34">
        <f t="shared" si="215"/>
        <v>568400</v>
      </c>
      <c r="AA717" s="8">
        <f>AB717/365*160</f>
        <v>93435.616438356155</v>
      </c>
      <c r="AB717" s="8">
        <f t="shared" si="216"/>
        <v>213150</v>
      </c>
      <c r="AC717" s="4">
        <f t="shared" si="217"/>
        <v>213150</v>
      </c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</row>
    <row r="718" spans="1:61" s="37" customFormat="1" ht="27.6" customHeight="1" x14ac:dyDescent="0.2">
      <c r="A718" s="9">
        <v>705</v>
      </c>
      <c r="B718" s="58" t="s">
        <v>514</v>
      </c>
      <c r="C718" s="9" t="s">
        <v>394</v>
      </c>
      <c r="D718" s="71">
        <v>7064000</v>
      </c>
      <c r="E718" s="9"/>
      <c r="F718" s="9"/>
      <c r="G718" s="62"/>
      <c r="H718" s="54">
        <v>7.5</v>
      </c>
      <c r="I718" s="94"/>
      <c r="J718" s="94"/>
      <c r="K718" s="34"/>
      <c r="L718" s="34"/>
      <c r="M718" s="8">
        <f t="shared" si="213"/>
        <v>7064000</v>
      </c>
      <c r="N718" s="8">
        <v>7064000</v>
      </c>
      <c r="O718" s="34"/>
      <c r="P718" s="34"/>
      <c r="Q718" s="34"/>
      <c r="R718" s="34"/>
      <c r="S718" s="34">
        <f t="shared" si="214"/>
        <v>7064000</v>
      </c>
      <c r="T718" s="4">
        <v>0</v>
      </c>
      <c r="U718" s="4">
        <v>0</v>
      </c>
      <c r="V718" s="34"/>
      <c r="W718" s="34"/>
      <c r="X718" s="34"/>
      <c r="Y718" s="34"/>
      <c r="Z718" s="34">
        <f t="shared" si="215"/>
        <v>1412800</v>
      </c>
      <c r="AA718" s="8">
        <f>AB718/365*147</f>
        <v>213371.50684931505</v>
      </c>
      <c r="AB718" s="8">
        <f t="shared" si="216"/>
        <v>529800</v>
      </c>
      <c r="AC718" s="4">
        <f t="shared" si="217"/>
        <v>529800</v>
      </c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</row>
    <row r="719" spans="1:61" s="37" customFormat="1" ht="27.6" customHeight="1" x14ac:dyDescent="0.2">
      <c r="A719" s="9">
        <v>706</v>
      </c>
      <c r="B719" s="58" t="s">
        <v>514</v>
      </c>
      <c r="C719" s="9" t="s">
        <v>394</v>
      </c>
      <c r="D719" s="71">
        <v>6680000</v>
      </c>
      <c r="E719" s="9"/>
      <c r="F719" s="9"/>
      <c r="G719" s="62"/>
      <c r="H719" s="54">
        <v>7.5</v>
      </c>
      <c r="I719" s="94"/>
      <c r="J719" s="94"/>
      <c r="K719" s="34"/>
      <c r="L719" s="34"/>
      <c r="M719" s="8">
        <f t="shared" si="213"/>
        <v>6680000</v>
      </c>
      <c r="N719" s="8">
        <v>6680000</v>
      </c>
      <c r="O719" s="34"/>
      <c r="P719" s="34"/>
      <c r="Q719" s="34"/>
      <c r="R719" s="34"/>
      <c r="S719" s="34">
        <f t="shared" si="214"/>
        <v>6680000</v>
      </c>
      <c r="T719" s="4">
        <v>0</v>
      </c>
      <c r="U719" s="4">
        <v>0</v>
      </c>
      <c r="V719" s="34"/>
      <c r="W719" s="34"/>
      <c r="X719" s="34"/>
      <c r="Y719" s="34"/>
      <c r="Z719" s="34">
        <f t="shared" si="215"/>
        <v>1336000</v>
      </c>
      <c r="AA719" s="8">
        <f>AB719/365*147</f>
        <v>201772.60273972605</v>
      </c>
      <c r="AB719" s="8">
        <f t="shared" si="216"/>
        <v>501000</v>
      </c>
      <c r="AC719" s="4">
        <f t="shared" si="217"/>
        <v>501000</v>
      </c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</row>
    <row r="720" spans="1:61" s="37" customFormat="1" ht="27.6" customHeight="1" x14ac:dyDescent="0.2">
      <c r="A720" s="9">
        <v>707</v>
      </c>
      <c r="B720" s="58" t="s">
        <v>584</v>
      </c>
      <c r="C720" s="9" t="s">
        <v>394</v>
      </c>
      <c r="D720" s="71">
        <v>17732000</v>
      </c>
      <c r="E720" s="9"/>
      <c r="F720" s="9"/>
      <c r="G720" s="62"/>
      <c r="H720" s="54">
        <v>7.5</v>
      </c>
      <c r="I720" s="94"/>
      <c r="J720" s="94"/>
      <c r="K720" s="34"/>
      <c r="L720" s="34"/>
      <c r="M720" s="8">
        <f t="shared" si="213"/>
        <v>17732000</v>
      </c>
      <c r="N720" s="8">
        <v>17732000</v>
      </c>
      <c r="O720" s="34"/>
      <c r="P720" s="34"/>
      <c r="Q720" s="34"/>
      <c r="R720" s="34"/>
      <c r="S720" s="34">
        <f t="shared" si="214"/>
        <v>17732000</v>
      </c>
      <c r="T720" s="4">
        <v>0</v>
      </c>
      <c r="U720" s="4">
        <v>0</v>
      </c>
      <c r="V720" s="34"/>
      <c r="W720" s="34"/>
      <c r="X720" s="34"/>
      <c r="Y720" s="34"/>
      <c r="Z720" s="34">
        <f t="shared" si="215"/>
        <v>3546400</v>
      </c>
      <c r="AA720" s="8">
        <f>AB720/365*138</f>
        <v>502811.50684931508</v>
      </c>
      <c r="AB720" s="8">
        <f t="shared" si="216"/>
        <v>1329900</v>
      </c>
      <c r="AC720" s="4">
        <f t="shared" si="217"/>
        <v>1329900</v>
      </c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</row>
    <row r="721" spans="1:61" s="37" customFormat="1" ht="27.6" customHeight="1" x14ac:dyDescent="0.2">
      <c r="A721" s="9">
        <v>708</v>
      </c>
      <c r="B721" s="58" t="s">
        <v>584</v>
      </c>
      <c r="C721" s="9" t="s">
        <v>394</v>
      </c>
      <c r="D721" s="71">
        <v>15200000</v>
      </c>
      <c r="E721" s="9"/>
      <c r="F721" s="9"/>
      <c r="G721" s="62"/>
      <c r="H721" s="54">
        <v>7.5</v>
      </c>
      <c r="I721" s="94"/>
      <c r="J721" s="94"/>
      <c r="K721" s="34"/>
      <c r="L721" s="34"/>
      <c r="M721" s="8">
        <f t="shared" si="213"/>
        <v>15200000</v>
      </c>
      <c r="N721" s="8">
        <v>15200000</v>
      </c>
      <c r="O721" s="34"/>
      <c r="P721" s="34"/>
      <c r="Q721" s="34"/>
      <c r="R721" s="34"/>
      <c r="S721" s="34">
        <f t="shared" si="214"/>
        <v>15200000</v>
      </c>
      <c r="T721" s="4">
        <v>0</v>
      </c>
      <c r="U721" s="4">
        <v>0</v>
      </c>
      <c r="V721" s="34"/>
      <c r="W721" s="34"/>
      <c r="X721" s="34"/>
      <c r="Y721" s="34"/>
      <c r="Z721" s="34">
        <f t="shared" si="215"/>
        <v>3040000</v>
      </c>
      <c r="AA721" s="8">
        <f>AB721/365*138</f>
        <v>431013.69863013696</v>
      </c>
      <c r="AB721" s="8">
        <f t="shared" si="216"/>
        <v>1140000</v>
      </c>
      <c r="AC721" s="4">
        <f t="shared" si="217"/>
        <v>1140000</v>
      </c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</row>
    <row r="722" spans="1:61" s="37" customFormat="1" ht="27.6" customHeight="1" x14ac:dyDescent="0.2">
      <c r="A722" s="9">
        <v>709</v>
      </c>
      <c r="B722" s="58" t="s">
        <v>584</v>
      </c>
      <c r="C722" s="9" t="s">
        <v>394</v>
      </c>
      <c r="D722" s="71">
        <v>27028000</v>
      </c>
      <c r="E722" s="9"/>
      <c r="F722" s="9"/>
      <c r="G722" s="62"/>
      <c r="H722" s="54">
        <v>7.5</v>
      </c>
      <c r="I722" s="94"/>
      <c r="J722" s="94"/>
      <c r="K722" s="34"/>
      <c r="L722" s="34"/>
      <c r="M722" s="8">
        <f t="shared" si="213"/>
        <v>27028000</v>
      </c>
      <c r="N722" s="8">
        <v>27028000</v>
      </c>
      <c r="O722" s="34"/>
      <c r="P722" s="34"/>
      <c r="Q722" s="34"/>
      <c r="R722" s="34"/>
      <c r="S722" s="34">
        <f t="shared" si="214"/>
        <v>27028000</v>
      </c>
      <c r="T722" s="4">
        <v>0</v>
      </c>
      <c r="U722" s="4">
        <v>0</v>
      </c>
      <c r="V722" s="34"/>
      <c r="W722" s="34"/>
      <c r="X722" s="34"/>
      <c r="Y722" s="34"/>
      <c r="Z722" s="34">
        <f t="shared" si="215"/>
        <v>5405600</v>
      </c>
      <c r="AA722" s="8">
        <f>AB722/365*138</f>
        <v>766410.41095890407</v>
      </c>
      <c r="AB722" s="8">
        <f t="shared" si="216"/>
        <v>2027100</v>
      </c>
      <c r="AC722" s="4">
        <f t="shared" si="217"/>
        <v>2027100</v>
      </c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</row>
    <row r="723" spans="1:61" s="37" customFormat="1" ht="27.6" customHeight="1" x14ac:dyDescent="0.2">
      <c r="A723" s="9">
        <v>710</v>
      </c>
      <c r="B723" s="58" t="s">
        <v>584</v>
      </c>
      <c r="C723" s="9" t="s">
        <v>394</v>
      </c>
      <c r="D723" s="71">
        <v>25200000</v>
      </c>
      <c r="E723" s="9"/>
      <c r="F723" s="9"/>
      <c r="G723" s="62"/>
      <c r="H723" s="54">
        <v>7.5</v>
      </c>
      <c r="I723" s="94"/>
      <c r="J723" s="94"/>
      <c r="K723" s="34"/>
      <c r="L723" s="34"/>
      <c r="M723" s="8">
        <f t="shared" si="213"/>
        <v>25200000</v>
      </c>
      <c r="N723" s="8">
        <v>25200000</v>
      </c>
      <c r="O723" s="34"/>
      <c r="P723" s="34"/>
      <c r="Q723" s="34"/>
      <c r="R723" s="34"/>
      <c r="S723" s="34">
        <f t="shared" si="214"/>
        <v>25200000</v>
      </c>
      <c r="T723" s="4">
        <v>0</v>
      </c>
      <c r="U723" s="4">
        <v>0</v>
      </c>
      <c r="V723" s="34"/>
      <c r="W723" s="34"/>
      <c r="X723" s="34"/>
      <c r="Y723" s="34"/>
      <c r="Z723" s="34">
        <f t="shared" si="215"/>
        <v>5040000</v>
      </c>
      <c r="AA723" s="8">
        <f>AB723/365*138</f>
        <v>714575.34246575343</v>
      </c>
      <c r="AB723" s="8">
        <f t="shared" si="216"/>
        <v>1890000</v>
      </c>
      <c r="AC723" s="4">
        <f t="shared" si="217"/>
        <v>1890000</v>
      </c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</row>
    <row r="724" spans="1:61" s="37" customFormat="1" ht="27.6" customHeight="1" x14ac:dyDescent="0.2">
      <c r="A724" s="9">
        <v>711</v>
      </c>
      <c r="B724" s="58" t="s">
        <v>584</v>
      </c>
      <c r="C724" s="9" t="s">
        <v>394</v>
      </c>
      <c r="D724" s="71">
        <v>2111000</v>
      </c>
      <c r="E724" s="9"/>
      <c r="F724" s="9"/>
      <c r="G724" s="62"/>
      <c r="H724" s="54">
        <v>7.5</v>
      </c>
      <c r="I724" s="94"/>
      <c r="J724" s="94"/>
      <c r="K724" s="34"/>
      <c r="L724" s="34"/>
      <c r="M724" s="8">
        <f t="shared" si="213"/>
        <v>2111000</v>
      </c>
      <c r="N724" s="8">
        <v>2111000</v>
      </c>
      <c r="O724" s="34"/>
      <c r="P724" s="34"/>
      <c r="Q724" s="34"/>
      <c r="R724" s="34"/>
      <c r="S724" s="34">
        <f t="shared" si="214"/>
        <v>2111000</v>
      </c>
      <c r="T724" s="4">
        <v>0</v>
      </c>
      <c r="U724" s="4">
        <v>0</v>
      </c>
      <c r="V724" s="34"/>
      <c r="W724" s="34"/>
      <c r="X724" s="34"/>
      <c r="Y724" s="34"/>
      <c r="Z724" s="34">
        <f t="shared" si="215"/>
        <v>422200</v>
      </c>
      <c r="AA724" s="8">
        <f>AB724/365*138</f>
        <v>59859.863013698625</v>
      </c>
      <c r="AB724" s="8">
        <f t="shared" si="216"/>
        <v>158325</v>
      </c>
      <c r="AC724" s="4">
        <f t="shared" si="217"/>
        <v>158325</v>
      </c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</row>
    <row r="725" spans="1:61" s="37" customFormat="1" ht="27.6" customHeight="1" x14ac:dyDescent="0.2">
      <c r="A725" s="9">
        <v>712</v>
      </c>
      <c r="B725" s="58" t="s">
        <v>589</v>
      </c>
      <c r="C725" s="9" t="s">
        <v>394</v>
      </c>
      <c r="D725" s="71">
        <v>29776000</v>
      </c>
      <c r="E725" s="9"/>
      <c r="F725" s="9"/>
      <c r="G725" s="62"/>
      <c r="H725" s="54">
        <v>7.5</v>
      </c>
      <c r="I725" s="94"/>
      <c r="J725" s="94"/>
      <c r="K725" s="34"/>
      <c r="L725" s="34"/>
      <c r="M725" s="8">
        <f t="shared" si="213"/>
        <v>29776000</v>
      </c>
      <c r="N725" s="8">
        <v>29776000</v>
      </c>
      <c r="O725" s="34"/>
      <c r="P725" s="34"/>
      <c r="Q725" s="34"/>
      <c r="R725" s="34"/>
      <c r="S725" s="34">
        <f t="shared" si="214"/>
        <v>29776000</v>
      </c>
      <c r="T725" s="4">
        <v>0</v>
      </c>
      <c r="U725" s="4">
        <v>0</v>
      </c>
      <c r="V725" s="34"/>
      <c r="W725" s="34"/>
      <c r="X725" s="34"/>
      <c r="Y725" s="34"/>
      <c r="Z725" s="34">
        <f t="shared" si="215"/>
        <v>5955200</v>
      </c>
      <c r="AA725" s="8">
        <f>AB725/365*103</f>
        <v>630190.68493150687</v>
      </c>
      <c r="AB725" s="8">
        <f t="shared" si="216"/>
        <v>2233200</v>
      </c>
      <c r="AC725" s="4">
        <f t="shared" si="217"/>
        <v>2233200</v>
      </c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</row>
    <row r="726" spans="1:61" s="37" customFormat="1" ht="27.6" customHeight="1" x14ac:dyDescent="0.2">
      <c r="A726" s="9">
        <v>713</v>
      </c>
      <c r="B726" s="58" t="s">
        <v>589</v>
      </c>
      <c r="C726" s="9" t="s">
        <v>394</v>
      </c>
      <c r="D726" s="71">
        <v>14929000</v>
      </c>
      <c r="E726" s="9"/>
      <c r="F726" s="9"/>
      <c r="G726" s="62"/>
      <c r="H726" s="54">
        <v>7.5</v>
      </c>
      <c r="I726" s="94"/>
      <c r="J726" s="94"/>
      <c r="K726" s="34"/>
      <c r="L726" s="34"/>
      <c r="M726" s="8">
        <f t="shared" si="213"/>
        <v>14929000</v>
      </c>
      <c r="N726" s="8">
        <v>14929000</v>
      </c>
      <c r="O726" s="34"/>
      <c r="P726" s="34"/>
      <c r="Q726" s="34"/>
      <c r="R726" s="34"/>
      <c r="S726" s="34">
        <f t="shared" si="214"/>
        <v>14929000</v>
      </c>
      <c r="T726" s="4">
        <v>0</v>
      </c>
      <c r="U726" s="4">
        <v>0</v>
      </c>
      <c r="V726" s="34"/>
      <c r="W726" s="34"/>
      <c r="X726" s="34"/>
      <c r="Y726" s="34"/>
      <c r="Z726" s="34">
        <f t="shared" si="215"/>
        <v>2985800</v>
      </c>
      <c r="AA726" s="8">
        <f>AB726/365*103</f>
        <v>315963.08219178079</v>
      </c>
      <c r="AB726" s="8">
        <f t="shared" si="216"/>
        <v>1119675</v>
      </c>
      <c r="AC726" s="4">
        <f t="shared" si="217"/>
        <v>1119675</v>
      </c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</row>
    <row r="727" spans="1:61" s="37" customFormat="1" ht="27.6" customHeight="1" x14ac:dyDescent="0.2">
      <c r="A727" s="9">
        <v>714</v>
      </c>
      <c r="B727" s="58" t="s">
        <v>589</v>
      </c>
      <c r="C727" s="9" t="s">
        <v>394</v>
      </c>
      <c r="D727" s="71">
        <v>19223000</v>
      </c>
      <c r="E727" s="9"/>
      <c r="F727" s="9"/>
      <c r="G727" s="62"/>
      <c r="H727" s="54">
        <v>7.5</v>
      </c>
      <c r="I727" s="94"/>
      <c r="J727" s="94"/>
      <c r="K727" s="34"/>
      <c r="L727" s="34"/>
      <c r="M727" s="8">
        <f t="shared" si="213"/>
        <v>19223000</v>
      </c>
      <c r="N727" s="8">
        <v>19223000</v>
      </c>
      <c r="O727" s="34"/>
      <c r="P727" s="34"/>
      <c r="Q727" s="34"/>
      <c r="R727" s="34"/>
      <c r="S727" s="34">
        <f t="shared" si="214"/>
        <v>19223000</v>
      </c>
      <c r="T727" s="4">
        <v>0</v>
      </c>
      <c r="U727" s="4">
        <v>0</v>
      </c>
      <c r="V727" s="34"/>
      <c r="W727" s="34"/>
      <c r="X727" s="34"/>
      <c r="Y727" s="34"/>
      <c r="Z727" s="34">
        <f t="shared" si="215"/>
        <v>3844600</v>
      </c>
      <c r="AA727" s="8">
        <f>AB727/365*103</f>
        <v>406842.94520547945</v>
      </c>
      <c r="AB727" s="8">
        <f t="shared" si="216"/>
        <v>1441725</v>
      </c>
      <c r="AC727" s="4">
        <f t="shared" si="217"/>
        <v>1441725</v>
      </c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</row>
    <row r="728" spans="1:61" s="37" customFormat="1" ht="27.6" customHeight="1" x14ac:dyDescent="0.2">
      <c r="A728" s="9">
        <v>715</v>
      </c>
      <c r="B728" s="58" t="s">
        <v>590</v>
      </c>
      <c r="C728" s="9" t="s">
        <v>394</v>
      </c>
      <c r="D728" s="71">
        <v>15653000</v>
      </c>
      <c r="E728" s="9"/>
      <c r="F728" s="9"/>
      <c r="G728" s="62"/>
      <c r="H728" s="54">
        <v>7.5</v>
      </c>
      <c r="I728" s="94"/>
      <c r="J728" s="94"/>
      <c r="K728" s="34"/>
      <c r="L728" s="34"/>
      <c r="M728" s="8">
        <f t="shared" si="213"/>
        <v>15653000</v>
      </c>
      <c r="N728" s="8">
        <v>15653000</v>
      </c>
      <c r="O728" s="34"/>
      <c r="P728" s="34"/>
      <c r="Q728" s="34"/>
      <c r="R728" s="34"/>
      <c r="S728" s="34">
        <f t="shared" si="214"/>
        <v>15653000</v>
      </c>
      <c r="T728" s="4">
        <v>0</v>
      </c>
      <c r="U728" s="4">
        <v>0</v>
      </c>
      <c r="V728" s="34"/>
      <c r="W728" s="34"/>
      <c r="X728" s="34"/>
      <c r="Y728" s="34"/>
      <c r="Z728" s="34">
        <f t="shared" si="215"/>
        <v>3130600</v>
      </c>
      <c r="AA728" s="8">
        <f>AB728/365*100</f>
        <v>321636.98630136985</v>
      </c>
      <c r="AB728" s="8">
        <f t="shared" si="216"/>
        <v>1173975</v>
      </c>
      <c r="AC728" s="4">
        <f t="shared" si="217"/>
        <v>1173975</v>
      </c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</row>
    <row r="729" spans="1:61" s="37" customFormat="1" ht="27.6" customHeight="1" x14ac:dyDescent="0.2">
      <c r="A729" s="9">
        <v>716</v>
      </c>
      <c r="B729" s="58" t="s">
        <v>591</v>
      </c>
      <c r="C729" s="9" t="s">
        <v>394</v>
      </c>
      <c r="D729" s="71">
        <v>21695000</v>
      </c>
      <c r="E729" s="9"/>
      <c r="F729" s="9"/>
      <c r="G729" s="62"/>
      <c r="H729" s="54">
        <v>7.5</v>
      </c>
      <c r="I729" s="94"/>
      <c r="J729" s="94"/>
      <c r="K729" s="34"/>
      <c r="L729" s="34"/>
      <c r="M729" s="8">
        <f t="shared" si="213"/>
        <v>21695000</v>
      </c>
      <c r="N729" s="8">
        <v>21695000</v>
      </c>
      <c r="O729" s="34"/>
      <c r="P729" s="34"/>
      <c r="Q729" s="34"/>
      <c r="R729" s="34"/>
      <c r="S729" s="34">
        <f t="shared" si="214"/>
        <v>21695000</v>
      </c>
      <c r="T729" s="4">
        <v>0</v>
      </c>
      <c r="U729" s="4">
        <v>0</v>
      </c>
      <c r="V729" s="34"/>
      <c r="W729" s="34"/>
      <c r="X729" s="34"/>
      <c r="Y729" s="34"/>
      <c r="Z729" s="34">
        <f t="shared" si="215"/>
        <v>4339000</v>
      </c>
      <c r="AA729" s="8">
        <f>AB729/365*89</f>
        <v>396751.02739726024</v>
      </c>
      <c r="AB729" s="8">
        <f t="shared" si="216"/>
        <v>1627125</v>
      </c>
      <c r="AC729" s="4">
        <f t="shared" si="217"/>
        <v>1627125</v>
      </c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</row>
    <row r="730" spans="1:61" s="37" customFormat="1" ht="27.6" customHeight="1" x14ac:dyDescent="0.2">
      <c r="A730" s="9">
        <v>717</v>
      </c>
      <c r="B730" s="58" t="s">
        <v>594</v>
      </c>
      <c r="C730" s="9" t="s">
        <v>394</v>
      </c>
      <c r="D730" s="71">
        <v>14202000</v>
      </c>
      <c r="E730" s="9"/>
      <c r="F730" s="9"/>
      <c r="G730" s="62"/>
      <c r="H730" s="54">
        <v>7.5</v>
      </c>
      <c r="I730" s="94"/>
      <c r="J730" s="94"/>
      <c r="K730" s="34"/>
      <c r="L730" s="34"/>
      <c r="M730" s="8">
        <f t="shared" si="213"/>
        <v>14202000</v>
      </c>
      <c r="N730" s="8">
        <v>14202000</v>
      </c>
      <c r="O730" s="34"/>
      <c r="P730" s="34"/>
      <c r="Q730" s="34"/>
      <c r="R730" s="34"/>
      <c r="S730" s="34">
        <f t="shared" si="214"/>
        <v>14202000</v>
      </c>
      <c r="T730" s="4">
        <v>0</v>
      </c>
      <c r="U730" s="4">
        <v>0</v>
      </c>
      <c r="V730" s="34"/>
      <c r="W730" s="34"/>
      <c r="X730" s="34"/>
      <c r="Y730" s="34"/>
      <c r="Z730" s="34">
        <f t="shared" si="215"/>
        <v>2840400</v>
      </c>
      <c r="AA730" s="8">
        <f>AB730/365*71</f>
        <v>207193.56164383562</v>
      </c>
      <c r="AB730" s="8">
        <f t="shared" si="216"/>
        <v>1065150</v>
      </c>
      <c r="AC730" s="4">
        <f t="shared" si="217"/>
        <v>1065150</v>
      </c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</row>
    <row r="731" spans="1:61" s="37" customFormat="1" ht="27.6" customHeight="1" x14ac:dyDescent="0.2">
      <c r="A731" s="9">
        <v>718</v>
      </c>
      <c r="B731" s="58" t="s">
        <v>594</v>
      </c>
      <c r="C731" s="9" t="s">
        <v>394</v>
      </c>
      <c r="D731" s="71">
        <v>10204000</v>
      </c>
      <c r="E731" s="9"/>
      <c r="F731" s="9"/>
      <c r="G731" s="62"/>
      <c r="H731" s="54">
        <v>7.5</v>
      </c>
      <c r="I731" s="94"/>
      <c r="J731" s="94"/>
      <c r="K731" s="34"/>
      <c r="L731" s="34"/>
      <c r="M731" s="8">
        <f t="shared" si="213"/>
        <v>10204000</v>
      </c>
      <c r="N731" s="8">
        <v>10204000</v>
      </c>
      <c r="O731" s="34"/>
      <c r="P731" s="34"/>
      <c r="Q731" s="34"/>
      <c r="R731" s="34"/>
      <c r="S731" s="34">
        <f t="shared" si="214"/>
        <v>10204000</v>
      </c>
      <c r="T731" s="4">
        <v>0</v>
      </c>
      <c r="U731" s="4">
        <v>0</v>
      </c>
      <c r="V731" s="34"/>
      <c r="W731" s="34"/>
      <c r="X731" s="34"/>
      <c r="Y731" s="34"/>
      <c r="Z731" s="34">
        <f t="shared" si="215"/>
        <v>2040800</v>
      </c>
      <c r="AA731" s="8">
        <f>AB731/365*71</f>
        <v>148866.57534246577</v>
      </c>
      <c r="AB731" s="8">
        <f t="shared" si="216"/>
        <v>765300</v>
      </c>
      <c r="AC731" s="4">
        <f t="shared" si="217"/>
        <v>765300</v>
      </c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</row>
    <row r="732" spans="1:61" s="37" customFormat="1" ht="27.6" customHeight="1" x14ac:dyDescent="0.2">
      <c r="A732" s="9">
        <v>719</v>
      </c>
      <c r="B732" s="58" t="s">
        <v>594</v>
      </c>
      <c r="C732" s="9" t="s">
        <v>394</v>
      </c>
      <c r="D732" s="71">
        <v>10828000</v>
      </c>
      <c r="E732" s="9"/>
      <c r="F732" s="9"/>
      <c r="G732" s="62"/>
      <c r="H732" s="54">
        <v>7.5</v>
      </c>
      <c r="I732" s="94"/>
      <c r="J732" s="94"/>
      <c r="K732" s="34"/>
      <c r="L732" s="34"/>
      <c r="M732" s="8">
        <f t="shared" si="213"/>
        <v>10828000</v>
      </c>
      <c r="N732" s="8">
        <v>10828000</v>
      </c>
      <c r="O732" s="34"/>
      <c r="P732" s="34"/>
      <c r="Q732" s="34"/>
      <c r="R732" s="34"/>
      <c r="S732" s="34">
        <f t="shared" si="214"/>
        <v>10828000</v>
      </c>
      <c r="T732" s="4">
        <v>0</v>
      </c>
      <c r="U732" s="4">
        <v>0</v>
      </c>
      <c r="V732" s="34"/>
      <c r="W732" s="34"/>
      <c r="X732" s="34"/>
      <c r="Y732" s="34"/>
      <c r="Z732" s="34">
        <f t="shared" si="215"/>
        <v>2165600</v>
      </c>
      <c r="AA732" s="8">
        <f>AB732/365*71</f>
        <v>157970.13698630137</v>
      </c>
      <c r="AB732" s="8">
        <f t="shared" si="216"/>
        <v>812100</v>
      </c>
      <c r="AC732" s="4">
        <f t="shared" si="217"/>
        <v>812100</v>
      </c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</row>
    <row r="733" spans="1:61" s="37" customFormat="1" ht="27.6" customHeight="1" x14ac:dyDescent="0.2">
      <c r="A733" s="9">
        <v>720</v>
      </c>
      <c r="B733" s="58" t="s">
        <v>594</v>
      </c>
      <c r="C733" s="9" t="s">
        <v>394</v>
      </c>
      <c r="D733" s="71">
        <v>51781000</v>
      </c>
      <c r="E733" s="9"/>
      <c r="F733" s="9"/>
      <c r="G733" s="62"/>
      <c r="H733" s="54">
        <v>7.5</v>
      </c>
      <c r="I733" s="94"/>
      <c r="J733" s="94"/>
      <c r="K733" s="34"/>
      <c r="L733" s="34"/>
      <c r="M733" s="8">
        <f t="shared" si="213"/>
        <v>51781000</v>
      </c>
      <c r="N733" s="8">
        <v>51781000</v>
      </c>
      <c r="O733" s="34"/>
      <c r="P733" s="34"/>
      <c r="Q733" s="34"/>
      <c r="R733" s="34"/>
      <c r="S733" s="34">
        <f t="shared" si="214"/>
        <v>51781000</v>
      </c>
      <c r="T733" s="4">
        <v>0</v>
      </c>
      <c r="U733" s="4">
        <v>0</v>
      </c>
      <c r="V733" s="34"/>
      <c r="W733" s="34"/>
      <c r="X733" s="34"/>
      <c r="Y733" s="34"/>
      <c r="Z733" s="34">
        <f t="shared" si="215"/>
        <v>10356200</v>
      </c>
      <c r="AA733" s="8">
        <f>AB733/365*71</f>
        <v>755435.13698630128</v>
      </c>
      <c r="AB733" s="8">
        <f t="shared" si="216"/>
        <v>3883575</v>
      </c>
      <c r="AC733" s="4">
        <f t="shared" si="217"/>
        <v>3883575</v>
      </c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</row>
    <row r="734" spans="1:61" s="37" customFormat="1" ht="27.6" customHeight="1" x14ac:dyDescent="0.2">
      <c r="A734" s="9">
        <v>721</v>
      </c>
      <c r="B734" s="58" t="s">
        <v>595</v>
      </c>
      <c r="C734" s="9" t="s">
        <v>394</v>
      </c>
      <c r="D734" s="71">
        <v>20315000</v>
      </c>
      <c r="E734" s="9"/>
      <c r="F734" s="9"/>
      <c r="G734" s="62"/>
      <c r="H734" s="54">
        <v>7.5</v>
      </c>
      <c r="I734" s="94"/>
      <c r="J734" s="94"/>
      <c r="K734" s="34"/>
      <c r="L734" s="34"/>
      <c r="M734" s="8">
        <f t="shared" si="213"/>
        <v>20315000</v>
      </c>
      <c r="N734" s="8">
        <v>20315000</v>
      </c>
      <c r="O734" s="34"/>
      <c r="P734" s="34"/>
      <c r="Q734" s="34"/>
      <c r="R734" s="34"/>
      <c r="S734" s="34">
        <f t="shared" si="214"/>
        <v>20315000</v>
      </c>
      <c r="T734" s="4">
        <v>0</v>
      </c>
      <c r="U734" s="4">
        <v>0</v>
      </c>
      <c r="V734" s="34"/>
      <c r="W734" s="34"/>
      <c r="X734" s="34"/>
      <c r="Y734" s="34"/>
      <c r="Z734" s="34">
        <f t="shared" si="215"/>
        <v>4063000</v>
      </c>
      <c r="AA734" s="8">
        <f t="shared" ref="AA734:AA739" si="218">AB734/365*65</f>
        <v>271330.47945205477</v>
      </c>
      <c r="AB734" s="8">
        <f t="shared" si="216"/>
        <v>1523625</v>
      </c>
      <c r="AC734" s="4">
        <f t="shared" si="217"/>
        <v>1523625</v>
      </c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</row>
    <row r="735" spans="1:61" s="37" customFormat="1" ht="27.6" customHeight="1" x14ac:dyDescent="0.2">
      <c r="A735" s="9">
        <v>722</v>
      </c>
      <c r="B735" s="58" t="s">
        <v>595</v>
      </c>
      <c r="C735" s="9" t="s">
        <v>394</v>
      </c>
      <c r="D735" s="71">
        <v>21755000</v>
      </c>
      <c r="E735" s="9"/>
      <c r="F735" s="9"/>
      <c r="G735" s="62"/>
      <c r="H735" s="54">
        <v>7.5</v>
      </c>
      <c r="I735" s="94"/>
      <c r="J735" s="94"/>
      <c r="K735" s="34"/>
      <c r="L735" s="34"/>
      <c r="M735" s="8">
        <f t="shared" si="213"/>
        <v>21755000</v>
      </c>
      <c r="N735" s="8">
        <v>21755000</v>
      </c>
      <c r="O735" s="34"/>
      <c r="P735" s="34"/>
      <c r="Q735" s="34"/>
      <c r="R735" s="34"/>
      <c r="S735" s="34">
        <f t="shared" si="214"/>
        <v>21755000</v>
      </c>
      <c r="T735" s="4">
        <v>0</v>
      </c>
      <c r="U735" s="4">
        <v>0</v>
      </c>
      <c r="V735" s="34"/>
      <c r="W735" s="34"/>
      <c r="X735" s="34"/>
      <c r="Y735" s="34"/>
      <c r="Z735" s="34">
        <f t="shared" si="215"/>
        <v>4351000</v>
      </c>
      <c r="AA735" s="8">
        <f t="shared" si="218"/>
        <v>290563.35616438353</v>
      </c>
      <c r="AB735" s="8">
        <f t="shared" si="216"/>
        <v>1631625</v>
      </c>
      <c r="AC735" s="4">
        <f t="shared" si="217"/>
        <v>1631625</v>
      </c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</row>
    <row r="736" spans="1:61" s="37" customFormat="1" ht="27.6" customHeight="1" x14ac:dyDescent="0.2">
      <c r="A736" s="9">
        <v>723</v>
      </c>
      <c r="B736" s="58" t="s">
        <v>595</v>
      </c>
      <c r="C736" s="9" t="s">
        <v>394</v>
      </c>
      <c r="D736" s="71">
        <v>34701000</v>
      </c>
      <c r="E736" s="9"/>
      <c r="F736" s="9"/>
      <c r="G736" s="62"/>
      <c r="H736" s="54">
        <v>7.5</v>
      </c>
      <c r="I736" s="94"/>
      <c r="J736" s="94"/>
      <c r="K736" s="34"/>
      <c r="L736" s="34"/>
      <c r="M736" s="8">
        <f t="shared" si="213"/>
        <v>34701000</v>
      </c>
      <c r="N736" s="8">
        <v>34701000</v>
      </c>
      <c r="O736" s="34"/>
      <c r="P736" s="34"/>
      <c r="Q736" s="34"/>
      <c r="R736" s="34"/>
      <c r="S736" s="34">
        <f t="shared" si="214"/>
        <v>34701000</v>
      </c>
      <c r="T736" s="4">
        <v>0</v>
      </c>
      <c r="U736" s="4">
        <v>0</v>
      </c>
      <c r="V736" s="34"/>
      <c r="W736" s="34"/>
      <c r="X736" s="34"/>
      <c r="Y736" s="34"/>
      <c r="Z736" s="34">
        <f t="shared" si="215"/>
        <v>6940200</v>
      </c>
      <c r="AA736" s="8">
        <f t="shared" si="218"/>
        <v>463472.26027397258</v>
      </c>
      <c r="AB736" s="8">
        <f t="shared" si="216"/>
        <v>2602575</v>
      </c>
      <c r="AC736" s="4">
        <f t="shared" si="217"/>
        <v>2602575</v>
      </c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</row>
    <row r="737" spans="1:61" s="37" customFormat="1" ht="27.6" customHeight="1" x14ac:dyDescent="0.2">
      <c r="A737" s="9">
        <v>724</v>
      </c>
      <c r="B737" s="58" t="s">
        <v>595</v>
      </c>
      <c r="C737" s="9" t="s">
        <v>394</v>
      </c>
      <c r="D737" s="71">
        <v>37435000</v>
      </c>
      <c r="E737" s="9"/>
      <c r="F737" s="9"/>
      <c r="G737" s="62"/>
      <c r="H737" s="54">
        <v>7.5</v>
      </c>
      <c r="I737" s="94"/>
      <c r="J737" s="94"/>
      <c r="K737" s="34"/>
      <c r="L737" s="34"/>
      <c r="M737" s="8">
        <f t="shared" si="213"/>
        <v>37435000</v>
      </c>
      <c r="N737" s="8">
        <v>37435000</v>
      </c>
      <c r="O737" s="34"/>
      <c r="P737" s="34"/>
      <c r="Q737" s="34"/>
      <c r="R737" s="34"/>
      <c r="S737" s="34">
        <f t="shared" si="214"/>
        <v>37435000</v>
      </c>
      <c r="T737" s="4">
        <v>0</v>
      </c>
      <c r="U737" s="4">
        <v>0</v>
      </c>
      <c r="V737" s="34"/>
      <c r="W737" s="34"/>
      <c r="X737" s="34"/>
      <c r="Y737" s="34"/>
      <c r="Z737" s="34">
        <f t="shared" si="215"/>
        <v>7487000</v>
      </c>
      <c r="AA737" s="8">
        <f t="shared" si="218"/>
        <v>499988.01369863015</v>
      </c>
      <c r="AB737" s="8">
        <f t="shared" si="216"/>
        <v>2807625</v>
      </c>
      <c r="AC737" s="4">
        <f t="shared" si="217"/>
        <v>2807625</v>
      </c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</row>
    <row r="738" spans="1:61" s="37" customFormat="1" ht="27.6" customHeight="1" x14ac:dyDescent="0.2">
      <c r="A738" s="9">
        <v>725</v>
      </c>
      <c r="B738" s="58" t="s">
        <v>595</v>
      </c>
      <c r="C738" s="9" t="s">
        <v>394</v>
      </c>
      <c r="D738" s="71">
        <v>13678000</v>
      </c>
      <c r="E738" s="9"/>
      <c r="F738" s="9"/>
      <c r="G738" s="62"/>
      <c r="H738" s="54">
        <v>7.5</v>
      </c>
      <c r="I738" s="94"/>
      <c r="J738" s="94"/>
      <c r="K738" s="34"/>
      <c r="L738" s="34"/>
      <c r="M738" s="8">
        <f t="shared" si="213"/>
        <v>13678000</v>
      </c>
      <c r="N738" s="8">
        <v>13678000</v>
      </c>
      <c r="O738" s="34"/>
      <c r="P738" s="34"/>
      <c r="Q738" s="34"/>
      <c r="R738" s="34"/>
      <c r="S738" s="34">
        <f t="shared" si="214"/>
        <v>13678000</v>
      </c>
      <c r="T738" s="4">
        <v>0</v>
      </c>
      <c r="U738" s="4">
        <v>0</v>
      </c>
      <c r="V738" s="34"/>
      <c r="W738" s="34"/>
      <c r="X738" s="34"/>
      <c r="Y738" s="34"/>
      <c r="Z738" s="34">
        <f t="shared" si="215"/>
        <v>2735600</v>
      </c>
      <c r="AA738" s="8">
        <f t="shared" si="218"/>
        <v>182685.61643835617</v>
      </c>
      <c r="AB738" s="8">
        <f t="shared" si="216"/>
        <v>1025850</v>
      </c>
      <c r="AC738" s="4">
        <f t="shared" si="217"/>
        <v>1025850</v>
      </c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</row>
    <row r="739" spans="1:61" s="37" customFormat="1" ht="27.6" customHeight="1" x14ac:dyDescent="0.2">
      <c r="A739" s="9">
        <v>726</v>
      </c>
      <c r="B739" s="58" t="s">
        <v>595</v>
      </c>
      <c r="C739" s="9" t="s">
        <v>394</v>
      </c>
      <c r="D739" s="71">
        <v>6653000</v>
      </c>
      <c r="E739" s="9"/>
      <c r="F739" s="9"/>
      <c r="G739" s="62"/>
      <c r="H739" s="54">
        <v>7.5</v>
      </c>
      <c r="I739" s="94"/>
      <c r="J739" s="94"/>
      <c r="K739" s="34"/>
      <c r="L739" s="34"/>
      <c r="M739" s="8">
        <f t="shared" si="213"/>
        <v>6653000</v>
      </c>
      <c r="N739" s="8">
        <v>6653000</v>
      </c>
      <c r="O739" s="34"/>
      <c r="P739" s="34"/>
      <c r="Q739" s="34"/>
      <c r="R739" s="34"/>
      <c r="S739" s="34">
        <f t="shared" si="214"/>
        <v>6653000</v>
      </c>
      <c r="T739" s="4">
        <v>0</v>
      </c>
      <c r="U739" s="4">
        <v>0</v>
      </c>
      <c r="V739" s="34"/>
      <c r="W739" s="34"/>
      <c r="X739" s="34"/>
      <c r="Y739" s="34"/>
      <c r="Z739" s="34">
        <f t="shared" si="215"/>
        <v>1330600</v>
      </c>
      <c r="AA739" s="8">
        <f t="shared" si="218"/>
        <v>88858.561643835623</v>
      </c>
      <c r="AB739" s="8">
        <f t="shared" si="216"/>
        <v>498975</v>
      </c>
      <c r="AC739" s="4">
        <f t="shared" si="217"/>
        <v>498975</v>
      </c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</row>
    <row r="740" spans="1:61" s="37" customFormat="1" ht="27.6" customHeight="1" x14ac:dyDescent="0.2">
      <c r="A740" s="9">
        <v>727</v>
      </c>
      <c r="B740" s="58" t="s">
        <v>630</v>
      </c>
      <c r="C740" s="9" t="s">
        <v>394</v>
      </c>
      <c r="D740" s="71">
        <v>8834000</v>
      </c>
      <c r="E740" s="9"/>
      <c r="F740" s="9"/>
      <c r="G740" s="62"/>
      <c r="H740" s="54">
        <v>7.25</v>
      </c>
      <c r="I740" s="94"/>
      <c r="J740" s="94"/>
      <c r="K740" s="34"/>
      <c r="L740" s="34"/>
      <c r="M740" s="8">
        <f t="shared" si="213"/>
        <v>8834000</v>
      </c>
      <c r="N740" s="8">
        <v>8834000</v>
      </c>
      <c r="O740" s="34"/>
      <c r="P740" s="34"/>
      <c r="Q740" s="34"/>
      <c r="R740" s="34"/>
      <c r="S740" s="34">
        <f t="shared" si="214"/>
        <v>8834000</v>
      </c>
      <c r="T740" s="4">
        <v>0</v>
      </c>
      <c r="U740" s="4">
        <v>0</v>
      </c>
      <c r="V740" s="34"/>
      <c r="W740" s="34"/>
      <c r="X740" s="34"/>
      <c r="Y740" s="34"/>
      <c r="Z740" s="34">
        <f t="shared" si="215"/>
        <v>1766800</v>
      </c>
      <c r="AA740" s="8">
        <f>AB740/365*20</f>
        <v>35093.972602739726</v>
      </c>
      <c r="AB740" s="8">
        <f t="shared" ref="AB740:AB745" si="219">N740*7.25/100</f>
        <v>640465</v>
      </c>
      <c r="AC740" s="4">
        <f t="shared" si="217"/>
        <v>640465</v>
      </c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</row>
    <row r="741" spans="1:61" s="37" customFormat="1" ht="27.6" customHeight="1" x14ac:dyDescent="0.2">
      <c r="A741" s="9">
        <v>728</v>
      </c>
      <c r="B741" s="58" t="s">
        <v>630</v>
      </c>
      <c r="C741" s="9" t="s">
        <v>394</v>
      </c>
      <c r="D741" s="71">
        <v>22037000</v>
      </c>
      <c r="E741" s="9"/>
      <c r="F741" s="9"/>
      <c r="G741" s="62"/>
      <c r="H741" s="54">
        <v>7.25</v>
      </c>
      <c r="I741" s="94"/>
      <c r="J741" s="94"/>
      <c r="K741" s="34"/>
      <c r="L741" s="34"/>
      <c r="M741" s="8">
        <f t="shared" si="213"/>
        <v>22037000</v>
      </c>
      <c r="N741" s="8">
        <v>22037000</v>
      </c>
      <c r="O741" s="34"/>
      <c r="P741" s="34"/>
      <c r="Q741" s="34"/>
      <c r="R741" s="34"/>
      <c r="S741" s="34">
        <f t="shared" si="214"/>
        <v>22037000</v>
      </c>
      <c r="T741" s="4">
        <v>0</v>
      </c>
      <c r="U741" s="4">
        <v>0</v>
      </c>
      <c r="V741" s="34"/>
      <c r="W741" s="34"/>
      <c r="X741" s="34"/>
      <c r="Y741" s="34"/>
      <c r="Z741" s="34">
        <f t="shared" si="215"/>
        <v>4407400</v>
      </c>
      <c r="AA741" s="8">
        <f>AB741/365*20</f>
        <v>87544.246575342462</v>
      </c>
      <c r="AB741" s="8">
        <f t="shared" si="219"/>
        <v>1597682.5</v>
      </c>
      <c r="AC741" s="4">
        <f t="shared" si="217"/>
        <v>1597682.5</v>
      </c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</row>
    <row r="742" spans="1:61" s="37" customFormat="1" ht="27.6" customHeight="1" x14ac:dyDescent="0.2">
      <c r="A742" s="9">
        <v>729</v>
      </c>
      <c r="B742" s="58" t="s">
        <v>632</v>
      </c>
      <c r="C742" s="9" t="s">
        <v>394</v>
      </c>
      <c r="D742" s="71">
        <v>164387000</v>
      </c>
      <c r="E742" s="9"/>
      <c r="F742" s="9"/>
      <c r="G742" s="62"/>
      <c r="H742" s="54">
        <v>7.25</v>
      </c>
      <c r="I742" s="94"/>
      <c r="J742" s="94"/>
      <c r="K742" s="34"/>
      <c r="L742" s="34"/>
      <c r="M742" s="8">
        <f t="shared" si="213"/>
        <v>164387000</v>
      </c>
      <c r="N742" s="8">
        <v>164387000</v>
      </c>
      <c r="O742" s="34"/>
      <c r="P742" s="34"/>
      <c r="Q742" s="34"/>
      <c r="R742" s="34"/>
      <c r="S742" s="34">
        <f t="shared" si="214"/>
        <v>164387000</v>
      </c>
      <c r="T742" s="4">
        <v>0</v>
      </c>
      <c r="U742" s="4">
        <v>0</v>
      </c>
      <c r="V742" s="34"/>
      <c r="W742" s="34"/>
      <c r="X742" s="34"/>
      <c r="Y742" s="34"/>
      <c r="Z742" s="34">
        <f t="shared" si="215"/>
        <v>32877400</v>
      </c>
      <c r="AA742" s="8">
        <f>AB742/365*18</f>
        <v>587739.82191780827</v>
      </c>
      <c r="AB742" s="8">
        <f t="shared" si="219"/>
        <v>11918057.5</v>
      </c>
      <c r="AC742" s="4">
        <f t="shared" si="217"/>
        <v>11918057.5</v>
      </c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</row>
    <row r="743" spans="1:61" s="37" customFormat="1" ht="27.6" customHeight="1" x14ac:dyDescent="0.2">
      <c r="A743" s="9">
        <v>730</v>
      </c>
      <c r="B743" s="58" t="s">
        <v>633</v>
      </c>
      <c r="C743" s="9" t="s">
        <v>394</v>
      </c>
      <c r="D743" s="71">
        <v>6480000</v>
      </c>
      <c r="E743" s="9"/>
      <c r="F743" s="9"/>
      <c r="G743" s="62"/>
      <c r="H743" s="54">
        <v>7.25</v>
      </c>
      <c r="I743" s="94"/>
      <c r="J743" s="94"/>
      <c r="K743" s="34"/>
      <c r="L743" s="34"/>
      <c r="M743" s="8">
        <f t="shared" si="213"/>
        <v>6480000</v>
      </c>
      <c r="N743" s="8">
        <v>6480000</v>
      </c>
      <c r="O743" s="34"/>
      <c r="P743" s="34"/>
      <c r="Q743" s="34"/>
      <c r="R743" s="34"/>
      <c r="S743" s="34">
        <f t="shared" si="214"/>
        <v>6480000</v>
      </c>
      <c r="T743" s="4">
        <v>0</v>
      </c>
      <c r="U743" s="4">
        <v>0</v>
      </c>
      <c r="V743" s="34"/>
      <c r="W743" s="34"/>
      <c r="X743" s="34"/>
      <c r="Y743" s="34"/>
      <c r="Z743" s="34">
        <f t="shared" si="215"/>
        <v>1296000</v>
      </c>
      <c r="AA743" s="8">
        <f>AB743/365*13</f>
        <v>16732.602739726026</v>
      </c>
      <c r="AB743" s="8">
        <f t="shared" si="219"/>
        <v>469800</v>
      </c>
      <c r="AC743" s="4">
        <f t="shared" si="217"/>
        <v>469799.99999999994</v>
      </c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</row>
    <row r="744" spans="1:61" s="37" customFormat="1" ht="27.6" customHeight="1" x14ac:dyDescent="0.2">
      <c r="A744" s="9">
        <v>731</v>
      </c>
      <c r="B744" s="58" t="s">
        <v>633</v>
      </c>
      <c r="C744" s="9" t="s">
        <v>394</v>
      </c>
      <c r="D744" s="71">
        <v>100545000</v>
      </c>
      <c r="E744" s="9"/>
      <c r="F744" s="9"/>
      <c r="G744" s="62"/>
      <c r="H744" s="54">
        <v>7.25</v>
      </c>
      <c r="I744" s="94"/>
      <c r="J744" s="94"/>
      <c r="K744" s="34"/>
      <c r="L744" s="34"/>
      <c r="M744" s="8">
        <f t="shared" si="213"/>
        <v>100545000</v>
      </c>
      <c r="N744" s="8">
        <v>100545000</v>
      </c>
      <c r="O744" s="34"/>
      <c r="P744" s="34"/>
      <c r="Q744" s="34"/>
      <c r="R744" s="34"/>
      <c r="S744" s="34">
        <f t="shared" si="214"/>
        <v>100545000</v>
      </c>
      <c r="T744" s="4">
        <v>0</v>
      </c>
      <c r="U744" s="4">
        <v>0</v>
      </c>
      <c r="V744" s="34"/>
      <c r="W744" s="34"/>
      <c r="X744" s="34"/>
      <c r="Y744" s="34"/>
      <c r="Z744" s="34">
        <f t="shared" si="215"/>
        <v>20109000</v>
      </c>
      <c r="AA744" s="8">
        <f>AB744/365*13</f>
        <v>259626.47260273973</v>
      </c>
      <c r="AB744" s="8">
        <f t="shared" si="219"/>
        <v>7289512.5</v>
      </c>
      <c r="AC744" s="4">
        <f t="shared" si="217"/>
        <v>7289512.4999999991</v>
      </c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</row>
    <row r="745" spans="1:61" s="37" customFormat="1" ht="27.6" customHeight="1" x14ac:dyDescent="0.2">
      <c r="A745" s="9">
        <v>732</v>
      </c>
      <c r="B745" s="58" t="s">
        <v>633</v>
      </c>
      <c r="C745" s="9" t="s">
        <v>394</v>
      </c>
      <c r="D745" s="71">
        <v>29449000</v>
      </c>
      <c r="E745" s="9"/>
      <c r="F745" s="9"/>
      <c r="G745" s="62"/>
      <c r="H745" s="54">
        <v>7.25</v>
      </c>
      <c r="I745" s="94"/>
      <c r="J745" s="94"/>
      <c r="K745" s="34"/>
      <c r="L745" s="34"/>
      <c r="M745" s="8">
        <f t="shared" si="213"/>
        <v>29449000</v>
      </c>
      <c r="N745" s="8">
        <v>29449000</v>
      </c>
      <c r="O745" s="34"/>
      <c r="P745" s="34"/>
      <c r="Q745" s="34"/>
      <c r="R745" s="34"/>
      <c r="S745" s="34">
        <f t="shared" si="214"/>
        <v>29449000</v>
      </c>
      <c r="T745" s="4">
        <v>0</v>
      </c>
      <c r="U745" s="4">
        <v>0</v>
      </c>
      <c r="V745" s="34"/>
      <c r="W745" s="34"/>
      <c r="X745" s="34"/>
      <c r="Y745" s="34"/>
      <c r="Z745" s="34">
        <f t="shared" si="215"/>
        <v>5889800</v>
      </c>
      <c r="AA745" s="8">
        <f>AB745/365*13</f>
        <v>76042.965753424651</v>
      </c>
      <c r="AB745" s="8">
        <f t="shared" si="219"/>
        <v>2135052.5</v>
      </c>
      <c r="AC745" s="4">
        <f t="shared" si="217"/>
        <v>2135052.5</v>
      </c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</row>
    <row r="746" spans="1:61" s="37" customFormat="1" ht="27.6" customHeight="1" x14ac:dyDescent="0.2">
      <c r="A746" s="9">
        <v>733</v>
      </c>
      <c r="B746" s="58" t="s">
        <v>606</v>
      </c>
      <c r="C746" s="9" t="s">
        <v>394</v>
      </c>
      <c r="D746" s="71">
        <v>676000</v>
      </c>
      <c r="E746" s="9"/>
      <c r="F746" s="9"/>
      <c r="G746" s="62"/>
      <c r="H746" s="54">
        <v>7</v>
      </c>
      <c r="I746" s="94"/>
      <c r="J746" s="94"/>
      <c r="K746" s="34"/>
      <c r="L746" s="34"/>
      <c r="M746" s="8">
        <f t="shared" si="213"/>
        <v>676000</v>
      </c>
      <c r="N746" s="8">
        <v>676000</v>
      </c>
      <c r="O746" s="34"/>
      <c r="P746" s="34"/>
      <c r="Q746" s="34"/>
      <c r="R746" s="34"/>
      <c r="S746" s="34">
        <f t="shared" si="214"/>
        <v>676000</v>
      </c>
      <c r="T746" s="4">
        <v>0</v>
      </c>
      <c r="U746" s="4">
        <v>0</v>
      </c>
      <c r="V746" s="34"/>
      <c r="W746" s="34"/>
      <c r="X746" s="34"/>
      <c r="Y746" s="34"/>
      <c r="Z746" s="34">
        <f t="shared" si="215"/>
        <v>135200</v>
      </c>
      <c r="AA746" s="8">
        <f>AB746/365*12</f>
        <v>1555.7260273972604</v>
      </c>
      <c r="AB746" s="8">
        <f>N746*7/100</f>
        <v>47320</v>
      </c>
      <c r="AC746" s="4">
        <f t="shared" si="217"/>
        <v>47320.000000000007</v>
      </c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</row>
    <row r="747" spans="1:61" s="37" customFormat="1" ht="27.6" customHeight="1" x14ac:dyDescent="0.2">
      <c r="A747" s="9">
        <v>734</v>
      </c>
      <c r="B747" s="58" t="s">
        <v>606</v>
      </c>
      <c r="C747" s="9" t="s">
        <v>394</v>
      </c>
      <c r="D747" s="71">
        <v>21983000</v>
      </c>
      <c r="E747" s="9"/>
      <c r="F747" s="9"/>
      <c r="G747" s="62"/>
      <c r="H747" s="54">
        <v>7</v>
      </c>
      <c r="I747" s="94"/>
      <c r="J747" s="94"/>
      <c r="K747" s="34"/>
      <c r="L747" s="34"/>
      <c r="M747" s="8">
        <f t="shared" si="213"/>
        <v>21983000</v>
      </c>
      <c r="N747" s="8">
        <v>21983000</v>
      </c>
      <c r="O747" s="34"/>
      <c r="P747" s="34"/>
      <c r="Q747" s="34"/>
      <c r="R747" s="34"/>
      <c r="S747" s="34">
        <f t="shared" si="214"/>
        <v>21983000</v>
      </c>
      <c r="T747" s="4">
        <v>0</v>
      </c>
      <c r="U747" s="4">
        <v>0</v>
      </c>
      <c r="V747" s="34"/>
      <c r="W747" s="34"/>
      <c r="X747" s="34"/>
      <c r="Y747" s="34"/>
      <c r="Z747" s="34">
        <f t="shared" si="215"/>
        <v>4396600</v>
      </c>
      <c r="AA747" s="8">
        <f>AB747/365*12</f>
        <v>50591.013698630137</v>
      </c>
      <c r="AB747" s="8">
        <f>N747*7/100</f>
        <v>1538810</v>
      </c>
      <c r="AC747" s="4">
        <f t="shared" si="217"/>
        <v>1538810.0000000002</v>
      </c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</row>
    <row r="748" spans="1:61" s="37" customFormat="1" ht="27.6" customHeight="1" x14ac:dyDescent="0.2">
      <c r="A748" s="9">
        <v>735</v>
      </c>
      <c r="B748" s="58" t="s">
        <v>606</v>
      </c>
      <c r="C748" s="9" t="s">
        <v>394</v>
      </c>
      <c r="D748" s="71">
        <v>18050000</v>
      </c>
      <c r="E748" s="9"/>
      <c r="F748" s="9"/>
      <c r="G748" s="62"/>
      <c r="H748" s="54">
        <v>7</v>
      </c>
      <c r="I748" s="94"/>
      <c r="J748" s="94"/>
      <c r="K748" s="34"/>
      <c r="L748" s="34"/>
      <c r="M748" s="8">
        <f t="shared" si="213"/>
        <v>18050000</v>
      </c>
      <c r="N748" s="8">
        <v>18050000</v>
      </c>
      <c r="O748" s="34"/>
      <c r="P748" s="34"/>
      <c r="Q748" s="34"/>
      <c r="R748" s="34"/>
      <c r="S748" s="34">
        <f t="shared" si="214"/>
        <v>18050000</v>
      </c>
      <c r="T748" s="4">
        <v>0</v>
      </c>
      <c r="U748" s="4">
        <v>0</v>
      </c>
      <c r="V748" s="34"/>
      <c r="W748" s="34"/>
      <c r="X748" s="34"/>
      <c r="Y748" s="34"/>
      <c r="Z748" s="34">
        <f t="shared" si="215"/>
        <v>3610000</v>
      </c>
      <c r="AA748" s="8">
        <f>AB748/365*12</f>
        <v>41539.726027397264</v>
      </c>
      <c r="AB748" s="8">
        <f>N748*7/100</f>
        <v>1263500</v>
      </c>
      <c r="AC748" s="4">
        <f t="shared" si="217"/>
        <v>1263500.0000000002</v>
      </c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</row>
    <row r="749" spans="1:61" s="37" customFormat="1" ht="27.6" customHeight="1" x14ac:dyDescent="0.2">
      <c r="A749" s="9">
        <v>736</v>
      </c>
      <c r="B749" s="58" t="s">
        <v>634</v>
      </c>
      <c r="C749" s="9" t="s">
        <v>394</v>
      </c>
      <c r="D749" s="71">
        <v>17062000</v>
      </c>
      <c r="E749" s="9"/>
      <c r="F749" s="9"/>
      <c r="G749" s="62"/>
      <c r="H749" s="54">
        <v>7</v>
      </c>
      <c r="I749" s="94"/>
      <c r="J749" s="94"/>
      <c r="K749" s="34"/>
      <c r="L749" s="34"/>
      <c r="M749" s="8">
        <f t="shared" si="213"/>
        <v>17062000</v>
      </c>
      <c r="N749" s="8">
        <v>17062000</v>
      </c>
      <c r="O749" s="34"/>
      <c r="P749" s="34"/>
      <c r="Q749" s="34"/>
      <c r="R749" s="34"/>
      <c r="S749" s="34">
        <f t="shared" si="214"/>
        <v>17062000</v>
      </c>
      <c r="T749" s="4">
        <v>0</v>
      </c>
      <c r="U749" s="4">
        <v>0</v>
      </c>
      <c r="V749" s="34"/>
      <c r="W749" s="34"/>
      <c r="X749" s="34"/>
      <c r="Y749" s="34"/>
      <c r="Z749" s="34">
        <f t="shared" si="215"/>
        <v>3412400</v>
      </c>
      <c r="AA749" s="8">
        <f>AB749/365*11</f>
        <v>35993.808219178078</v>
      </c>
      <c r="AB749" s="8">
        <f>N749*7/100</f>
        <v>1194340</v>
      </c>
      <c r="AC749" s="4">
        <f t="shared" si="217"/>
        <v>1194340</v>
      </c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</row>
    <row r="750" spans="1:61" s="37" customFormat="1" ht="27.6" customHeight="1" x14ac:dyDescent="0.2">
      <c r="A750" s="9">
        <v>737</v>
      </c>
      <c r="B750" s="58" t="s">
        <v>635</v>
      </c>
      <c r="C750" s="9" t="s">
        <v>394</v>
      </c>
      <c r="D750" s="71">
        <v>101951000</v>
      </c>
      <c r="E750" s="9"/>
      <c r="F750" s="9"/>
      <c r="G750" s="62"/>
      <c r="H750" s="54">
        <v>7</v>
      </c>
      <c r="I750" s="94"/>
      <c r="J750" s="94"/>
      <c r="K750" s="34"/>
      <c r="L750" s="34"/>
      <c r="M750" s="8">
        <f t="shared" si="213"/>
        <v>101951000</v>
      </c>
      <c r="N750" s="8">
        <f>D750</f>
        <v>101951000</v>
      </c>
      <c r="O750" s="34"/>
      <c r="P750" s="34"/>
      <c r="Q750" s="34"/>
      <c r="R750" s="34"/>
      <c r="S750" s="34">
        <f t="shared" si="214"/>
        <v>101951000</v>
      </c>
      <c r="T750" s="4">
        <v>0</v>
      </c>
      <c r="U750" s="4">
        <v>0</v>
      </c>
      <c r="V750" s="34"/>
      <c r="W750" s="34"/>
      <c r="X750" s="34"/>
      <c r="Y750" s="34"/>
      <c r="Z750" s="34">
        <f t="shared" si="215"/>
        <v>20390200</v>
      </c>
      <c r="AA750" s="8">
        <f>AB750/365*7</f>
        <v>136865.72602739726</v>
      </c>
      <c r="AB750" s="8">
        <f>N750*7/100</f>
        <v>7136570</v>
      </c>
      <c r="AC750" s="4">
        <f t="shared" si="217"/>
        <v>7136570.0000000009</v>
      </c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</row>
    <row r="751" spans="1:61" s="37" customFormat="1" ht="27.6" customHeight="1" x14ac:dyDescent="0.2">
      <c r="A751" s="9">
        <v>738</v>
      </c>
      <c r="B751" s="58" t="s">
        <v>635</v>
      </c>
      <c r="C751" s="9" t="s">
        <v>394</v>
      </c>
      <c r="D751" s="71">
        <v>35342000</v>
      </c>
      <c r="E751" s="9"/>
      <c r="F751" s="9"/>
      <c r="G751" s="62"/>
      <c r="H751" s="54">
        <v>7</v>
      </c>
      <c r="I751" s="94"/>
      <c r="J751" s="94"/>
      <c r="K751" s="34"/>
      <c r="L751" s="34"/>
      <c r="M751" s="8">
        <f t="shared" si="213"/>
        <v>35342000</v>
      </c>
      <c r="N751" s="8">
        <f t="shared" ref="N751:N826" si="220">D751</f>
        <v>35342000</v>
      </c>
      <c r="O751" s="34"/>
      <c r="P751" s="34"/>
      <c r="Q751" s="34"/>
      <c r="R751" s="34"/>
      <c r="S751" s="34">
        <f t="shared" si="214"/>
        <v>35342000</v>
      </c>
      <c r="T751" s="4">
        <v>0</v>
      </c>
      <c r="U751" s="4">
        <v>0</v>
      </c>
      <c r="V751" s="34"/>
      <c r="W751" s="34"/>
      <c r="X751" s="34"/>
      <c r="Y751" s="34"/>
      <c r="Z751" s="34">
        <f t="shared" si="215"/>
        <v>7068400</v>
      </c>
      <c r="AA751" s="8">
        <f t="shared" ref="AA751:AA757" si="221">AB751/365*7</f>
        <v>47445.424657534248</v>
      </c>
      <c r="AB751" s="8">
        <f t="shared" ref="AB751:AB757" si="222">N751*7/100</f>
        <v>2473940</v>
      </c>
      <c r="AC751" s="4">
        <f t="shared" si="217"/>
        <v>2473940.0000000005</v>
      </c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</row>
    <row r="752" spans="1:61" s="37" customFormat="1" ht="27.6" customHeight="1" x14ac:dyDescent="0.2">
      <c r="A752" s="9">
        <v>739</v>
      </c>
      <c r="B752" s="58" t="s">
        <v>635</v>
      </c>
      <c r="C752" s="9" t="s">
        <v>394</v>
      </c>
      <c r="D752" s="71">
        <v>8318000</v>
      </c>
      <c r="E752" s="9"/>
      <c r="F752" s="9"/>
      <c r="G752" s="62"/>
      <c r="H752" s="54">
        <v>7</v>
      </c>
      <c r="I752" s="94"/>
      <c r="J752" s="94"/>
      <c r="K752" s="34"/>
      <c r="L752" s="34"/>
      <c r="M752" s="8">
        <f t="shared" si="213"/>
        <v>8318000</v>
      </c>
      <c r="N752" s="8">
        <f t="shared" si="220"/>
        <v>8318000</v>
      </c>
      <c r="O752" s="34"/>
      <c r="P752" s="34"/>
      <c r="Q752" s="34"/>
      <c r="R752" s="34"/>
      <c r="S752" s="34">
        <f t="shared" si="214"/>
        <v>8318000</v>
      </c>
      <c r="T752" s="4">
        <v>0</v>
      </c>
      <c r="U752" s="4">
        <v>0</v>
      </c>
      <c r="V752" s="34"/>
      <c r="W752" s="34"/>
      <c r="X752" s="34"/>
      <c r="Y752" s="34"/>
      <c r="Z752" s="34">
        <f t="shared" si="215"/>
        <v>1663600</v>
      </c>
      <c r="AA752" s="8">
        <f t="shared" si="221"/>
        <v>11166.630136986301</v>
      </c>
      <c r="AB752" s="8">
        <f t="shared" si="222"/>
        <v>582260</v>
      </c>
      <c r="AC752" s="4">
        <f t="shared" si="217"/>
        <v>582260</v>
      </c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</row>
    <row r="753" spans="1:61" s="37" customFormat="1" ht="27.6" customHeight="1" x14ac:dyDescent="0.2">
      <c r="A753" s="9">
        <v>740</v>
      </c>
      <c r="B753" s="58" t="s">
        <v>635</v>
      </c>
      <c r="C753" s="9" t="s">
        <v>394</v>
      </c>
      <c r="D753" s="71">
        <v>21532000</v>
      </c>
      <c r="E753" s="9"/>
      <c r="F753" s="9"/>
      <c r="G753" s="62"/>
      <c r="H753" s="54">
        <v>7</v>
      </c>
      <c r="I753" s="94"/>
      <c r="J753" s="94"/>
      <c r="K753" s="34"/>
      <c r="L753" s="34"/>
      <c r="M753" s="8">
        <f t="shared" si="213"/>
        <v>21532000</v>
      </c>
      <c r="N753" s="8">
        <f t="shared" si="220"/>
        <v>21532000</v>
      </c>
      <c r="O753" s="34"/>
      <c r="P753" s="34"/>
      <c r="Q753" s="34"/>
      <c r="R753" s="34"/>
      <c r="S753" s="34">
        <f t="shared" si="214"/>
        <v>21532000</v>
      </c>
      <c r="T753" s="4">
        <v>0</v>
      </c>
      <c r="U753" s="4">
        <v>0</v>
      </c>
      <c r="V753" s="34"/>
      <c r="W753" s="34"/>
      <c r="X753" s="34"/>
      <c r="Y753" s="34"/>
      <c r="Z753" s="34">
        <f t="shared" si="215"/>
        <v>4306400</v>
      </c>
      <c r="AA753" s="8">
        <f t="shared" si="221"/>
        <v>28905.972602739726</v>
      </c>
      <c r="AB753" s="8">
        <f t="shared" si="222"/>
        <v>1507240</v>
      </c>
      <c r="AC753" s="4">
        <f t="shared" si="217"/>
        <v>1507240.0000000002</v>
      </c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</row>
    <row r="754" spans="1:61" s="37" customFormat="1" ht="27.6" customHeight="1" x14ac:dyDescent="0.2">
      <c r="A754" s="9">
        <v>741</v>
      </c>
      <c r="B754" s="58" t="s">
        <v>635</v>
      </c>
      <c r="C754" s="9" t="s">
        <v>394</v>
      </c>
      <c r="D754" s="71">
        <v>60701000</v>
      </c>
      <c r="E754" s="9"/>
      <c r="F754" s="9"/>
      <c r="G754" s="62"/>
      <c r="H754" s="54">
        <v>7</v>
      </c>
      <c r="I754" s="94"/>
      <c r="J754" s="94"/>
      <c r="K754" s="34"/>
      <c r="L754" s="34"/>
      <c r="M754" s="8">
        <f t="shared" si="213"/>
        <v>60701000</v>
      </c>
      <c r="N754" s="8">
        <f t="shared" si="220"/>
        <v>60701000</v>
      </c>
      <c r="O754" s="34"/>
      <c r="P754" s="34"/>
      <c r="Q754" s="34"/>
      <c r="R754" s="34"/>
      <c r="S754" s="34">
        <f t="shared" si="214"/>
        <v>60701000</v>
      </c>
      <c r="T754" s="4">
        <v>0</v>
      </c>
      <c r="U754" s="4">
        <v>0</v>
      </c>
      <c r="V754" s="34"/>
      <c r="W754" s="34"/>
      <c r="X754" s="34"/>
      <c r="Y754" s="34"/>
      <c r="Z754" s="34">
        <f t="shared" si="215"/>
        <v>12140200</v>
      </c>
      <c r="AA754" s="8">
        <f t="shared" si="221"/>
        <v>81489.013698630137</v>
      </c>
      <c r="AB754" s="8">
        <f t="shared" si="222"/>
        <v>4249070</v>
      </c>
      <c r="AC754" s="4">
        <f t="shared" si="217"/>
        <v>4249070</v>
      </c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</row>
    <row r="755" spans="1:61" s="37" customFormat="1" ht="27.6" customHeight="1" x14ac:dyDescent="0.2">
      <c r="A755" s="9">
        <v>742</v>
      </c>
      <c r="B755" s="58" t="s">
        <v>635</v>
      </c>
      <c r="C755" s="9" t="s">
        <v>394</v>
      </c>
      <c r="D755" s="71">
        <v>20691000</v>
      </c>
      <c r="E755" s="9"/>
      <c r="F755" s="9"/>
      <c r="G755" s="62"/>
      <c r="H755" s="54">
        <v>7</v>
      </c>
      <c r="I755" s="94"/>
      <c r="J755" s="94"/>
      <c r="K755" s="34"/>
      <c r="L755" s="34"/>
      <c r="M755" s="8">
        <f t="shared" si="213"/>
        <v>20691000</v>
      </c>
      <c r="N755" s="8">
        <f t="shared" si="220"/>
        <v>20691000</v>
      </c>
      <c r="O755" s="34"/>
      <c r="P755" s="34"/>
      <c r="Q755" s="34"/>
      <c r="R755" s="34"/>
      <c r="S755" s="34">
        <f t="shared" si="214"/>
        <v>20691000</v>
      </c>
      <c r="T755" s="4">
        <v>0</v>
      </c>
      <c r="U755" s="4">
        <v>0</v>
      </c>
      <c r="V755" s="34"/>
      <c r="W755" s="34"/>
      <c r="X755" s="34"/>
      <c r="Y755" s="34"/>
      <c r="Z755" s="34">
        <f t="shared" si="215"/>
        <v>4138200</v>
      </c>
      <c r="AA755" s="8">
        <f t="shared" si="221"/>
        <v>27776.95890410959</v>
      </c>
      <c r="AB755" s="8">
        <f t="shared" si="222"/>
        <v>1448370</v>
      </c>
      <c r="AC755" s="4">
        <f t="shared" si="217"/>
        <v>1448370.0000000002</v>
      </c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</row>
    <row r="756" spans="1:61" s="37" customFormat="1" ht="27.6" customHeight="1" x14ac:dyDescent="0.2">
      <c r="A756" s="9">
        <v>743</v>
      </c>
      <c r="B756" s="58" t="s">
        <v>635</v>
      </c>
      <c r="C756" s="9" t="s">
        <v>394</v>
      </c>
      <c r="D756" s="71">
        <v>99002000</v>
      </c>
      <c r="E756" s="9"/>
      <c r="F756" s="9"/>
      <c r="G756" s="62"/>
      <c r="H756" s="54">
        <v>7</v>
      </c>
      <c r="I756" s="94"/>
      <c r="J756" s="94"/>
      <c r="K756" s="34"/>
      <c r="L756" s="34"/>
      <c r="M756" s="8">
        <f t="shared" si="213"/>
        <v>99002000</v>
      </c>
      <c r="N756" s="8">
        <f t="shared" si="220"/>
        <v>99002000</v>
      </c>
      <c r="O756" s="34"/>
      <c r="P756" s="34"/>
      <c r="Q756" s="34"/>
      <c r="R756" s="34"/>
      <c r="S756" s="34">
        <f t="shared" si="214"/>
        <v>99002000</v>
      </c>
      <c r="T756" s="4">
        <v>0</v>
      </c>
      <c r="U756" s="4">
        <v>0</v>
      </c>
      <c r="V756" s="34"/>
      <c r="W756" s="34"/>
      <c r="X756" s="34"/>
      <c r="Y756" s="34"/>
      <c r="Z756" s="34">
        <f t="shared" si="215"/>
        <v>19800400</v>
      </c>
      <c r="AA756" s="8">
        <f t="shared" si="221"/>
        <v>132906.79452054796</v>
      </c>
      <c r="AB756" s="8">
        <f t="shared" si="222"/>
        <v>6930140</v>
      </c>
      <c r="AC756" s="4">
        <f t="shared" si="217"/>
        <v>6930140.0000000009</v>
      </c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</row>
    <row r="757" spans="1:61" s="37" customFormat="1" ht="27.6" customHeight="1" x14ac:dyDescent="0.2">
      <c r="A757" s="9">
        <v>744</v>
      </c>
      <c r="B757" s="58" t="s">
        <v>635</v>
      </c>
      <c r="C757" s="9" t="s">
        <v>394</v>
      </c>
      <c r="D757" s="71">
        <v>34197000</v>
      </c>
      <c r="E757" s="9"/>
      <c r="F757" s="9"/>
      <c r="G757" s="62"/>
      <c r="H757" s="54">
        <v>7</v>
      </c>
      <c r="I757" s="94"/>
      <c r="J757" s="94"/>
      <c r="K757" s="34"/>
      <c r="L757" s="34"/>
      <c r="M757" s="8">
        <f t="shared" si="213"/>
        <v>34197000</v>
      </c>
      <c r="N757" s="8">
        <f t="shared" si="220"/>
        <v>34197000</v>
      </c>
      <c r="O757" s="34"/>
      <c r="P757" s="34"/>
      <c r="Q757" s="34"/>
      <c r="R757" s="34"/>
      <c r="S757" s="34">
        <f t="shared" si="214"/>
        <v>34197000</v>
      </c>
      <c r="T757" s="4">
        <v>0</v>
      </c>
      <c r="U757" s="4">
        <v>0</v>
      </c>
      <c r="V757" s="34"/>
      <c r="W757" s="34"/>
      <c r="X757" s="34"/>
      <c r="Y757" s="34"/>
      <c r="Z757" s="34">
        <f t="shared" si="215"/>
        <v>6839400</v>
      </c>
      <c r="AA757" s="8">
        <f t="shared" si="221"/>
        <v>45908.301369863009</v>
      </c>
      <c r="AB757" s="8">
        <f t="shared" si="222"/>
        <v>2393790</v>
      </c>
      <c r="AC757" s="4">
        <f t="shared" si="217"/>
        <v>2393790</v>
      </c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</row>
    <row r="758" spans="1:61" s="37" customFormat="1" ht="27.6" customHeight="1" x14ac:dyDescent="0.2">
      <c r="A758" s="9">
        <v>745</v>
      </c>
      <c r="B758" s="58" t="s">
        <v>638</v>
      </c>
      <c r="C758" s="9" t="s">
        <v>394</v>
      </c>
      <c r="D758" s="71">
        <v>15772000</v>
      </c>
      <c r="E758" s="9"/>
      <c r="F758" s="9"/>
      <c r="G758" s="62"/>
      <c r="H758" s="54">
        <v>6.75</v>
      </c>
      <c r="I758" s="94"/>
      <c r="J758" s="94"/>
      <c r="K758" s="34"/>
      <c r="L758" s="34"/>
      <c r="M758" s="8">
        <v>0</v>
      </c>
      <c r="N758" s="8">
        <f t="shared" si="220"/>
        <v>15772000</v>
      </c>
      <c r="O758" s="34"/>
      <c r="P758" s="34"/>
      <c r="Q758" s="34"/>
      <c r="R758" s="34"/>
      <c r="S758" s="34">
        <f>N758-U758</f>
        <v>15772000</v>
      </c>
      <c r="T758" s="8">
        <v>0</v>
      </c>
      <c r="U758" s="4">
        <v>0</v>
      </c>
      <c r="V758" s="34"/>
      <c r="W758" s="34"/>
      <c r="X758" s="34"/>
      <c r="Y758" s="34"/>
      <c r="Z758" s="34">
        <v>0</v>
      </c>
      <c r="AA758" s="8">
        <f>AB758/365*320</f>
        <v>933356.71232876717</v>
      </c>
      <c r="AB758" s="8">
        <f>N758*6.75/100</f>
        <v>1064610</v>
      </c>
      <c r="AC758" s="4">
        <f t="shared" si="217"/>
        <v>1064610</v>
      </c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</row>
    <row r="759" spans="1:61" s="37" customFormat="1" ht="27.6" customHeight="1" x14ac:dyDescent="0.2">
      <c r="A759" s="9">
        <v>746</v>
      </c>
      <c r="B759" s="58" t="s">
        <v>638</v>
      </c>
      <c r="C759" s="9" t="s">
        <v>394</v>
      </c>
      <c r="D759" s="71">
        <v>90255000</v>
      </c>
      <c r="E759" s="9"/>
      <c r="F759" s="9"/>
      <c r="G759" s="62"/>
      <c r="H759" s="54">
        <v>6.75</v>
      </c>
      <c r="I759" s="94"/>
      <c r="J759" s="94"/>
      <c r="K759" s="34"/>
      <c r="L759" s="34"/>
      <c r="M759" s="8">
        <v>0</v>
      </c>
      <c r="N759" s="8">
        <f t="shared" si="220"/>
        <v>90255000</v>
      </c>
      <c r="O759" s="34"/>
      <c r="P759" s="34"/>
      <c r="Q759" s="34"/>
      <c r="R759" s="34"/>
      <c r="S759" s="34">
        <f t="shared" ref="S759:S822" si="223">N759-U759</f>
        <v>90255000</v>
      </c>
      <c r="T759" s="4">
        <v>0</v>
      </c>
      <c r="U759" s="4">
        <v>0</v>
      </c>
      <c r="V759" s="34"/>
      <c r="W759" s="34"/>
      <c r="X759" s="34"/>
      <c r="Y759" s="34"/>
      <c r="Z759" s="34">
        <v>0</v>
      </c>
      <c r="AA759" s="8">
        <f>AB759/365*320</f>
        <v>5341117.8082191776</v>
      </c>
      <c r="AB759" s="8">
        <f>N759*6.75/100</f>
        <v>6092212.5</v>
      </c>
      <c r="AC759" s="4">
        <f t="shared" si="217"/>
        <v>6092212.5</v>
      </c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</row>
    <row r="760" spans="1:61" s="37" customFormat="1" ht="27.6" customHeight="1" x14ac:dyDescent="0.2">
      <c r="A760" s="9">
        <v>747</v>
      </c>
      <c r="B760" s="58" t="s">
        <v>641</v>
      </c>
      <c r="C760" s="9" t="s">
        <v>394</v>
      </c>
      <c r="D760" s="71">
        <v>10802000</v>
      </c>
      <c r="E760" s="9"/>
      <c r="F760" s="9"/>
      <c r="G760" s="62"/>
      <c r="H760" s="54">
        <v>6.75</v>
      </c>
      <c r="I760" s="94"/>
      <c r="J760" s="94"/>
      <c r="K760" s="34"/>
      <c r="L760" s="34"/>
      <c r="M760" s="8">
        <v>0</v>
      </c>
      <c r="N760" s="8">
        <f t="shared" si="220"/>
        <v>10802000</v>
      </c>
      <c r="O760" s="34"/>
      <c r="P760" s="34"/>
      <c r="Q760" s="34"/>
      <c r="R760" s="34"/>
      <c r="S760" s="34">
        <f t="shared" si="223"/>
        <v>10802000</v>
      </c>
      <c r="T760" s="4">
        <v>0</v>
      </c>
      <c r="U760" s="4">
        <v>0</v>
      </c>
      <c r="V760" s="34"/>
      <c r="W760" s="34"/>
      <c r="X760" s="34"/>
      <c r="Y760" s="34"/>
      <c r="Z760" s="34">
        <v>0</v>
      </c>
      <c r="AA760" s="8">
        <f>AB760/365*309</f>
        <v>617267.71232876705</v>
      </c>
      <c r="AB760" s="8">
        <f>N760*6.75/100</f>
        <v>729135</v>
      </c>
      <c r="AC760" s="4">
        <f t="shared" si="217"/>
        <v>729135</v>
      </c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</row>
    <row r="761" spans="1:61" s="37" customFormat="1" ht="27.6" customHeight="1" x14ac:dyDescent="0.2">
      <c r="A761" s="9">
        <v>748</v>
      </c>
      <c r="B761" s="58" t="s">
        <v>644</v>
      </c>
      <c r="C761" s="9" t="s">
        <v>394</v>
      </c>
      <c r="D761" s="71">
        <v>7406000</v>
      </c>
      <c r="E761" s="9"/>
      <c r="F761" s="9"/>
      <c r="G761" s="62"/>
      <c r="H761" s="54">
        <v>6.75</v>
      </c>
      <c r="I761" s="94"/>
      <c r="J761" s="94"/>
      <c r="K761" s="34"/>
      <c r="L761" s="34"/>
      <c r="M761" s="8">
        <v>0</v>
      </c>
      <c r="N761" s="8">
        <f t="shared" si="220"/>
        <v>7406000</v>
      </c>
      <c r="O761" s="34"/>
      <c r="P761" s="34"/>
      <c r="Q761" s="34"/>
      <c r="R761" s="34"/>
      <c r="S761" s="34">
        <f t="shared" si="223"/>
        <v>7406000</v>
      </c>
      <c r="T761" s="4">
        <v>0</v>
      </c>
      <c r="U761" s="4">
        <v>0</v>
      </c>
      <c r="V761" s="34"/>
      <c r="W761" s="34"/>
      <c r="X761" s="34"/>
      <c r="Y761" s="34"/>
      <c r="Z761" s="34">
        <v>0</v>
      </c>
      <c r="AA761" s="8">
        <f>AB761/365*295</f>
        <v>404032.80821917811</v>
      </c>
      <c r="AB761" s="8">
        <f>N761*6.75/100</f>
        <v>499905</v>
      </c>
      <c r="AC761" s="4">
        <f t="shared" si="217"/>
        <v>499905.00000000006</v>
      </c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</row>
    <row r="762" spans="1:61" s="37" customFormat="1" ht="27.6" customHeight="1" x14ac:dyDescent="0.2">
      <c r="A762" s="9">
        <v>749</v>
      </c>
      <c r="B762" s="58" t="s">
        <v>644</v>
      </c>
      <c r="C762" s="9" t="s">
        <v>394</v>
      </c>
      <c r="D762" s="71">
        <v>15919000</v>
      </c>
      <c r="E762" s="9"/>
      <c r="F762" s="9"/>
      <c r="G762" s="62"/>
      <c r="H762" s="54">
        <v>6.75</v>
      </c>
      <c r="I762" s="94"/>
      <c r="J762" s="94"/>
      <c r="K762" s="34"/>
      <c r="L762" s="34"/>
      <c r="M762" s="8">
        <v>0</v>
      </c>
      <c r="N762" s="8">
        <f t="shared" si="220"/>
        <v>15919000</v>
      </c>
      <c r="O762" s="34"/>
      <c r="P762" s="34"/>
      <c r="Q762" s="34"/>
      <c r="R762" s="34"/>
      <c r="S762" s="34">
        <f t="shared" si="223"/>
        <v>15919000</v>
      </c>
      <c r="T762" s="4">
        <v>0</v>
      </c>
      <c r="U762" s="4">
        <v>0</v>
      </c>
      <c r="V762" s="34"/>
      <c r="W762" s="34"/>
      <c r="X762" s="34"/>
      <c r="Y762" s="34"/>
      <c r="Z762" s="34">
        <v>0</v>
      </c>
      <c r="AA762" s="8">
        <f t="shared" ref="AA762:AA763" si="224">AB762/365*295</f>
        <v>868457.77397260279</v>
      </c>
      <c r="AB762" s="8">
        <f t="shared" ref="AB762:AB766" si="225">N762*6.75/100</f>
        <v>1074532.5</v>
      </c>
      <c r="AC762" s="4">
        <f t="shared" si="217"/>
        <v>1074532.5</v>
      </c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</row>
    <row r="763" spans="1:61" s="37" customFormat="1" ht="27.6" customHeight="1" x14ac:dyDescent="0.2">
      <c r="A763" s="9">
        <v>750</v>
      </c>
      <c r="B763" s="58" t="s">
        <v>644</v>
      </c>
      <c r="C763" s="9" t="s">
        <v>394</v>
      </c>
      <c r="D763" s="71">
        <v>64110000</v>
      </c>
      <c r="E763" s="9"/>
      <c r="F763" s="9"/>
      <c r="G763" s="62"/>
      <c r="H763" s="54">
        <v>6.75</v>
      </c>
      <c r="I763" s="94"/>
      <c r="J763" s="94"/>
      <c r="K763" s="34"/>
      <c r="L763" s="34"/>
      <c r="M763" s="8">
        <v>0</v>
      </c>
      <c r="N763" s="8">
        <f t="shared" si="220"/>
        <v>64110000</v>
      </c>
      <c r="O763" s="34"/>
      <c r="P763" s="34"/>
      <c r="Q763" s="34"/>
      <c r="R763" s="34"/>
      <c r="S763" s="34">
        <f t="shared" si="223"/>
        <v>64110000</v>
      </c>
      <c r="T763" s="4">
        <v>0</v>
      </c>
      <c r="U763" s="4">
        <v>0</v>
      </c>
      <c r="V763" s="34"/>
      <c r="W763" s="34"/>
      <c r="X763" s="34"/>
      <c r="Y763" s="34"/>
      <c r="Z763" s="34">
        <v>0</v>
      </c>
      <c r="AA763" s="8">
        <f t="shared" si="224"/>
        <v>3497507.8767123288</v>
      </c>
      <c r="AB763" s="8">
        <f t="shared" si="225"/>
        <v>4327425</v>
      </c>
      <c r="AC763" s="4">
        <f t="shared" si="217"/>
        <v>4327425</v>
      </c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</row>
    <row r="764" spans="1:61" s="37" customFormat="1" ht="27.6" customHeight="1" x14ac:dyDescent="0.2">
      <c r="A764" s="9">
        <v>751</v>
      </c>
      <c r="B764" s="58" t="s">
        <v>3</v>
      </c>
      <c r="C764" s="9" t="s">
        <v>394</v>
      </c>
      <c r="D764" s="71">
        <v>100798000</v>
      </c>
      <c r="E764" s="9"/>
      <c r="F764" s="9"/>
      <c r="G764" s="62"/>
      <c r="H764" s="54">
        <v>6.75</v>
      </c>
      <c r="I764" s="94"/>
      <c r="J764" s="94"/>
      <c r="K764" s="34"/>
      <c r="L764" s="34"/>
      <c r="M764" s="8">
        <v>0</v>
      </c>
      <c r="N764" s="8">
        <f t="shared" si="220"/>
        <v>100798000</v>
      </c>
      <c r="O764" s="34"/>
      <c r="P764" s="34"/>
      <c r="Q764" s="34"/>
      <c r="R764" s="34"/>
      <c r="S764" s="34">
        <f t="shared" si="223"/>
        <v>100798000</v>
      </c>
      <c r="T764" s="4">
        <v>0</v>
      </c>
      <c r="U764" s="4">
        <v>0</v>
      </c>
      <c r="V764" s="34"/>
      <c r="W764" s="34"/>
      <c r="X764" s="34"/>
      <c r="Y764" s="34"/>
      <c r="Z764" s="34">
        <v>0</v>
      </c>
      <c r="AA764" s="8">
        <f>AB764/365*294</f>
        <v>5480373.4520547949</v>
      </c>
      <c r="AB764" s="8">
        <f t="shared" si="225"/>
        <v>6803865</v>
      </c>
      <c r="AC764" s="4">
        <f t="shared" si="217"/>
        <v>6803865</v>
      </c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</row>
    <row r="765" spans="1:61" s="37" customFormat="1" ht="27.6" customHeight="1" x14ac:dyDescent="0.2">
      <c r="A765" s="9">
        <v>752</v>
      </c>
      <c r="B765" s="58" t="s">
        <v>3</v>
      </c>
      <c r="C765" s="9" t="s">
        <v>394</v>
      </c>
      <c r="D765" s="71">
        <v>47562000</v>
      </c>
      <c r="E765" s="9"/>
      <c r="F765" s="9"/>
      <c r="G765" s="62"/>
      <c r="H765" s="54">
        <v>6.75</v>
      </c>
      <c r="I765" s="94"/>
      <c r="J765" s="94"/>
      <c r="K765" s="34"/>
      <c r="L765" s="34"/>
      <c r="M765" s="8">
        <v>0</v>
      </c>
      <c r="N765" s="8">
        <f t="shared" si="220"/>
        <v>47562000</v>
      </c>
      <c r="O765" s="34"/>
      <c r="P765" s="34"/>
      <c r="Q765" s="34"/>
      <c r="R765" s="34"/>
      <c r="S765" s="34">
        <f t="shared" si="223"/>
        <v>47562000</v>
      </c>
      <c r="T765" s="4">
        <v>0</v>
      </c>
      <c r="U765" s="4">
        <v>0</v>
      </c>
      <c r="V765" s="34"/>
      <c r="W765" s="34"/>
      <c r="X765" s="34"/>
      <c r="Y765" s="34"/>
      <c r="Z765" s="34">
        <v>0</v>
      </c>
      <c r="AA765" s="8">
        <f>AB765/365*294</f>
        <v>2585939.4246575343</v>
      </c>
      <c r="AB765" s="8">
        <f t="shared" si="225"/>
        <v>3210435</v>
      </c>
      <c r="AC765" s="4">
        <f t="shared" ref="AC765:AC828" si="226">S765*H765%</f>
        <v>3210435</v>
      </c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</row>
    <row r="766" spans="1:61" s="37" customFormat="1" ht="27.6" customHeight="1" x14ac:dyDescent="0.2">
      <c r="A766" s="9">
        <v>753</v>
      </c>
      <c r="B766" s="58" t="s">
        <v>645</v>
      </c>
      <c r="C766" s="9" t="s">
        <v>394</v>
      </c>
      <c r="D766" s="71">
        <v>6807000</v>
      </c>
      <c r="E766" s="9"/>
      <c r="F766" s="9"/>
      <c r="G766" s="62"/>
      <c r="H766" s="54">
        <v>6.75</v>
      </c>
      <c r="I766" s="94"/>
      <c r="J766" s="94"/>
      <c r="K766" s="34"/>
      <c r="L766" s="34"/>
      <c r="M766" s="8">
        <v>0</v>
      </c>
      <c r="N766" s="8">
        <f t="shared" si="220"/>
        <v>6807000</v>
      </c>
      <c r="O766" s="34"/>
      <c r="P766" s="34"/>
      <c r="Q766" s="34"/>
      <c r="R766" s="34"/>
      <c r="S766" s="34">
        <f t="shared" si="223"/>
        <v>6807000</v>
      </c>
      <c r="T766" s="4">
        <v>0</v>
      </c>
      <c r="U766" s="4">
        <v>0</v>
      </c>
      <c r="V766" s="34"/>
      <c r="W766" s="34"/>
      <c r="X766" s="34"/>
      <c r="Y766" s="34"/>
      <c r="Z766" s="34">
        <v>0</v>
      </c>
      <c r="AA766" s="8">
        <f>AB766/365*286</f>
        <v>360025.02739726024</v>
      </c>
      <c r="AB766" s="8">
        <f t="shared" si="225"/>
        <v>459472.5</v>
      </c>
      <c r="AC766" s="4">
        <f t="shared" si="226"/>
        <v>459472.50000000006</v>
      </c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</row>
    <row r="767" spans="1:61" s="37" customFormat="1" ht="27.6" customHeight="1" x14ac:dyDescent="0.2">
      <c r="A767" s="9">
        <v>754</v>
      </c>
      <c r="B767" s="58" t="s">
        <v>648</v>
      </c>
      <c r="C767" s="9" t="s">
        <v>394</v>
      </c>
      <c r="D767" s="71">
        <v>74737000</v>
      </c>
      <c r="E767" s="9"/>
      <c r="F767" s="9"/>
      <c r="G767" s="62"/>
      <c r="H767" s="54">
        <v>8.75</v>
      </c>
      <c r="I767" s="94"/>
      <c r="J767" s="94"/>
      <c r="K767" s="34"/>
      <c r="L767" s="34"/>
      <c r="M767" s="8">
        <v>0</v>
      </c>
      <c r="N767" s="8">
        <f t="shared" si="220"/>
        <v>74737000</v>
      </c>
      <c r="O767" s="34"/>
      <c r="P767" s="34"/>
      <c r="Q767" s="34"/>
      <c r="R767" s="34"/>
      <c r="S767" s="34">
        <f t="shared" si="223"/>
        <v>74737000</v>
      </c>
      <c r="T767" s="4">
        <v>0</v>
      </c>
      <c r="U767" s="4">
        <v>0</v>
      </c>
      <c r="V767" s="34"/>
      <c r="W767" s="34"/>
      <c r="X767" s="34"/>
      <c r="Y767" s="34"/>
      <c r="Z767" s="34">
        <v>0</v>
      </c>
      <c r="AA767" s="8">
        <f>AB767/365*231</f>
        <v>4138689.3493150687</v>
      </c>
      <c r="AB767" s="8">
        <f>N767*8.75/100</f>
        <v>6539487.5</v>
      </c>
      <c r="AC767" s="4">
        <f t="shared" si="226"/>
        <v>6539487.5</v>
      </c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</row>
    <row r="768" spans="1:61" s="37" customFormat="1" ht="27.6" customHeight="1" x14ac:dyDescent="0.2">
      <c r="A768" s="9">
        <v>755</v>
      </c>
      <c r="B768" s="58" t="s">
        <v>648</v>
      </c>
      <c r="C768" s="9" t="s">
        <v>394</v>
      </c>
      <c r="D768" s="71">
        <v>14728000</v>
      </c>
      <c r="E768" s="9"/>
      <c r="F768" s="9"/>
      <c r="G768" s="62"/>
      <c r="H768" s="54">
        <v>8.75</v>
      </c>
      <c r="I768" s="94"/>
      <c r="J768" s="94"/>
      <c r="K768" s="34"/>
      <c r="L768" s="34"/>
      <c r="M768" s="8">
        <v>0</v>
      </c>
      <c r="N768" s="8">
        <f t="shared" si="220"/>
        <v>14728000</v>
      </c>
      <c r="O768" s="34"/>
      <c r="P768" s="34"/>
      <c r="Q768" s="34"/>
      <c r="R768" s="34"/>
      <c r="S768" s="34">
        <f t="shared" si="223"/>
        <v>14728000</v>
      </c>
      <c r="T768" s="4">
        <v>0</v>
      </c>
      <c r="U768" s="4">
        <v>0</v>
      </c>
      <c r="V768" s="34"/>
      <c r="W768" s="34"/>
      <c r="X768" s="34"/>
      <c r="Y768" s="34"/>
      <c r="Z768" s="34">
        <v>0</v>
      </c>
      <c r="AA768" s="8">
        <f>AB768/365*231</f>
        <v>815588.21917808219</v>
      </c>
      <c r="AB768" s="8">
        <f>N768*8.75/100</f>
        <v>1288700</v>
      </c>
      <c r="AC768" s="4">
        <f t="shared" si="226"/>
        <v>1288700</v>
      </c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</row>
    <row r="769" spans="1:61" s="37" customFormat="1" ht="27.6" customHeight="1" x14ac:dyDescent="0.2">
      <c r="A769" s="9">
        <v>756</v>
      </c>
      <c r="B769" s="58" t="s">
        <v>649</v>
      </c>
      <c r="C769" s="9" t="s">
        <v>394</v>
      </c>
      <c r="D769" s="71">
        <v>32070000</v>
      </c>
      <c r="E769" s="9"/>
      <c r="F769" s="9"/>
      <c r="G769" s="62"/>
      <c r="H769" s="54">
        <v>8.75</v>
      </c>
      <c r="I769" s="94"/>
      <c r="J769" s="94"/>
      <c r="K769" s="34"/>
      <c r="L769" s="34"/>
      <c r="M769" s="8">
        <v>0</v>
      </c>
      <c r="N769" s="8">
        <f t="shared" si="220"/>
        <v>32070000</v>
      </c>
      <c r="O769" s="34"/>
      <c r="P769" s="34"/>
      <c r="Q769" s="34"/>
      <c r="R769" s="34"/>
      <c r="S769" s="34">
        <f t="shared" si="223"/>
        <v>32070000</v>
      </c>
      <c r="T769" s="4">
        <v>0</v>
      </c>
      <c r="U769" s="4">
        <v>0</v>
      </c>
      <c r="V769" s="34"/>
      <c r="W769" s="34"/>
      <c r="X769" s="34"/>
      <c r="Y769" s="34"/>
      <c r="Z769" s="34">
        <v>0</v>
      </c>
      <c r="AA769" s="8">
        <f>AB769/365*229</f>
        <v>1760555.1369863013</v>
      </c>
      <c r="AB769" s="8">
        <f>N769*8.75/100</f>
        <v>2806125</v>
      </c>
      <c r="AC769" s="4">
        <f t="shared" si="226"/>
        <v>2806125</v>
      </c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</row>
    <row r="770" spans="1:61" s="37" customFormat="1" ht="27.6" customHeight="1" x14ac:dyDescent="0.2">
      <c r="A770" s="9">
        <v>757</v>
      </c>
      <c r="B770" s="58" t="s">
        <v>650</v>
      </c>
      <c r="C770" s="9" t="s">
        <v>394</v>
      </c>
      <c r="D770" s="71">
        <v>6857000</v>
      </c>
      <c r="E770" s="9"/>
      <c r="F770" s="9"/>
      <c r="G770" s="62"/>
      <c r="H770" s="54">
        <v>8.75</v>
      </c>
      <c r="I770" s="94"/>
      <c r="J770" s="94"/>
      <c r="K770" s="34"/>
      <c r="L770" s="34"/>
      <c r="M770" s="8">
        <v>0</v>
      </c>
      <c r="N770" s="8">
        <f t="shared" si="220"/>
        <v>6857000</v>
      </c>
      <c r="O770" s="34"/>
      <c r="P770" s="34"/>
      <c r="Q770" s="34"/>
      <c r="R770" s="34"/>
      <c r="S770" s="34">
        <f t="shared" si="223"/>
        <v>6857000</v>
      </c>
      <c r="T770" s="4">
        <v>0</v>
      </c>
      <c r="U770" s="4">
        <v>0</v>
      </c>
      <c r="V770" s="34"/>
      <c r="W770" s="34"/>
      <c r="X770" s="34"/>
      <c r="Y770" s="34"/>
      <c r="Z770" s="34">
        <v>0</v>
      </c>
      <c r="AA770" s="8">
        <f>AB770/365*226</f>
        <v>371499.10958904109</v>
      </c>
      <c r="AB770" s="8">
        <f t="shared" ref="AB770:AB772" si="227">N770*8.75/100</f>
        <v>599987.5</v>
      </c>
      <c r="AC770" s="4">
        <f t="shared" si="226"/>
        <v>599987.5</v>
      </c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</row>
    <row r="771" spans="1:61" s="37" customFormat="1" ht="27.6" customHeight="1" x14ac:dyDescent="0.2">
      <c r="A771" s="9">
        <v>758</v>
      </c>
      <c r="B771" s="58" t="s">
        <v>650</v>
      </c>
      <c r="C771" s="9" t="s">
        <v>394</v>
      </c>
      <c r="D771" s="71">
        <v>13376000</v>
      </c>
      <c r="E771" s="9"/>
      <c r="F771" s="9"/>
      <c r="G771" s="62"/>
      <c r="H771" s="54">
        <v>8.75</v>
      </c>
      <c r="I771" s="94"/>
      <c r="J771" s="94"/>
      <c r="K771" s="34"/>
      <c r="L771" s="34"/>
      <c r="M771" s="8">
        <v>0</v>
      </c>
      <c r="N771" s="8">
        <f t="shared" si="220"/>
        <v>13376000</v>
      </c>
      <c r="O771" s="34"/>
      <c r="P771" s="34"/>
      <c r="Q771" s="34"/>
      <c r="R771" s="34"/>
      <c r="S771" s="34">
        <f t="shared" si="223"/>
        <v>13376000</v>
      </c>
      <c r="T771" s="4">
        <v>0</v>
      </c>
      <c r="U771" s="4">
        <v>0</v>
      </c>
      <c r="V771" s="34"/>
      <c r="W771" s="34"/>
      <c r="X771" s="34"/>
      <c r="Y771" s="34"/>
      <c r="Z771" s="34">
        <v>0</v>
      </c>
      <c r="AA771" s="8">
        <f t="shared" ref="AA771:AA772" si="228">AB771/365*226</f>
        <v>724686.02739726019</v>
      </c>
      <c r="AB771" s="8">
        <f t="shared" si="227"/>
        <v>1170400</v>
      </c>
      <c r="AC771" s="4">
        <f t="shared" si="226"/>
        <v>1170400</v>
      </c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</row>
    <row r="772" spans="1:61" s="37" customFormat="1" ht="27.6" customHeight="1" x14ac:dyDescent="0.2">
      <c r="A772" s="9">
        <v>759</v>
      </c>
      <c r="B772" s="58" t="s">
        <v>650</v>
      </c>
      <c r="C772" s="9" t="s">
        <v>394</v>
      </c>
      <c r="D772" s="71">
        <v>1782000</v>
      </c>
      <c r="E772" s="9"/>
      <c r="F772" s="9"/>
      <c r="G772" s="62"/>
      <c r="H772" s="54">
        <v>8.75</v>
      </c>
      <c r="I772" s="94"/>
      <c r="J772" s="94"/>
      <c r="K772" s="34"/>
      <c r="L772" s="34"/>
      <c r="M772" s="8">
        <v>0</v>
      </c>
      <c r="N772" s="8">
        <f t="shared" si="220"/>
        <v>1782000</v>
      </c>
      <c r="O772" s="34"/>
      <c r="P772" s="34"/>
      <c r="Q772" s="34"/>
      <c r="R772" s="34"/>
      <c r="S772" s="34">
        <f t="shared" si="223"/>
        <v>1782000</v>
      </c>
      <c r="T772" s="4">
        <v>0</v>
      </c>
      <c r="U772" s="4">
        <v>0</v>
      </c>
      <c r="V772" s="34"/>
      <c r="W772" s="34"/>
      <c r="X772" s="34"/>
      <c r="Y772" s="34"/>
      <c r="Z772" s="34">
        <v>0</v>
      </c>
      <c r="AA772" s="8">
        <f t="shared" si="228"/>
        <v>96545.34246575342</v>
      </c>
      <c r="AB772" s="8">
        <f t="shared" si="227"/>
        <v>155925</v>
      </c>
      <c r="AC772" s="4">
        <f t="shared" si="226"/>
        <v>155925</v>
      </c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</row>
    <row r="773" spans="1:61" s="37" customFormat="1" ht="27.6" customHeight="1" x14ac:dyDescent="0.2">
      <c r="A773" s="9">
        <v>760</v>
      </c>
      <c r="B773" s="58" t="s">
        <v>651</v>
      </c>
      <c r="C773" s="9" t="s">
        <v>394</v>
      </c>
      <c r="D773" s="71">
        <v>12842000</v>
      </c>
      <c r="E773" s="9"/>
      <c r="F773" s="9"/>
      <c r="G773" s="62"/>
      <c r="H773" s="54">
        <v>8.75</v>
      </c>
      <c r="I773" s="94"/>
      <c r="J773" s="94"/>
      <c r="K773" s="34"/>
      <c r="L773" s="34"/>
      <c r="M773" s="8">
        <v>0</v>
      </c>
      <c r="N773" s="8">
        <f t="shared" si="220"/>
        <v>12842000</v>
      </c>
      <c r="O773" s="34"/>
      <c r="P773" s="34"/>
      <c r="Q773" s="34"/>
      <c r="R773" s="34"/>
      <c r="S773" s="34">
        <f t="shared" si="223"/>
        <v>12842000</v>
      </c>
      <c r="T773" s="4">
        <v>0</v>
      </c>
      <c r="U773" s="4">
        <v>0</v>
      </c>
      <c r="V773" s="34"/>
      <c r="W773" s="34"/>
      <c r="X773" s="34"/>
      <c r="Y773" s="34"/>
      <c r="Z773" s="34">
        <v>0</v>
      </c>
      <c r="AA773" s="8">
        <f>AB773/365*225</f>
        <v>692676.36986301374</v>
      </c>
      <c r="AB773" s="8">
        <f>N773*8.75/100</f>
        <v>1123675</v>
      </c>
      <c r="AC773" s="4">
        <f t="shared" si="226"/>
        <v>1123675</v>
      </c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</row>
    <row r="774" spans="1:61" s="37" customFormat="1" ht="27.6" customHeight="1" x14ac:dyDescent="0.2">
      <c r="A774" s="9">
        <v>761</v>
      </c>
      <c r="B774" s="58" t="s">
        <v>652</v>
      </c>
      <c r="C774" s="9" t="s">
        <v>394</v>
      </c>
      <c r="D774" s="71">
        <v>39081000</v>
      </c>
      <c r="E774" s="9"/>
      <c r="F774" s="9"/>
      <c r="G774" s="62"/>
      <c r="H774" s="54">
        <v>8.75</v>
      </c>
      <c r="I774" s="94"/>
      <c r="J774" s="94"/>
      <c r="K774" s="34"/>
      <c r="L774" s="34"/>
      <c r="M774" s="8">
        <v>0</v>
      </c>
      <c r="N774" s="8">
        <f t="shared" si="220"/>
        <v>39081000</v>
      </c>
      <c r="O774" s="34"/>
      <c r="P774" s="34"/>
      <c r="Q774" s="34"/>
      <c r="R774" s="34"/>
      <c r="S774" s="34">
        <f t="shared" si="223"/>
        <v>39081000</v>
      </c>
      <c r="T774" s="4">
        <v>0</v>
      </c>
      <c r="U774" s="4">
        <v>0</v>
      </c>
      <c r="V774" s="34"/>
      <c r="W774" s="34"/>
      <c r="X774" s="34"/>
      <c r="Y774" s="34"/>
      <c r="Z774" s="34">
        <v>0</v>
      </c>
      <c r="AA774" s="8">
        <f>AB774/365*211</f>
        <v>1976802.6369863015</v>
      </c>
      <c r="AB774" s="8">
        <f>N774*8.75/100</f>
        <v>3419587.5</v>
      </c>
      <c r="AC774" s="4">
        <f t="shared" si="226"/>
        <v>3419587.5</v>
      </c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</row>
    <row r="775" spans="1:61" s="37" customFormat="1" ht="27.6" customHeight="1" x14ac:dyDescent="0.2">
      <c r="A775" s="9">
        <v>762</v>
      </c>
      <c r="B775" s="58" t="s">
        <v>652</v>
      </c>
      <c r="C775" s="9" t="s">
        <v>394</v>
      </c>
      <c r="D775" s="71">
        <v>14875000</v>
      </c>
      <c r="E775" s="9"/>
      <c r="F775" s="9"/>
      <c r="G775" s="62"/>
      <c r="H775" s="54">
        <v>8.75</v>
      </c>
      <c r="I775" s="94"/>
      <c r="J775" s="94"/>
      <c r="K775" s="34"/>
      <c r="L775" s="34"/>
      <c r="M775" s="8">
        <v>0</v>
      </c>
      <c r="N775" s="8">
        <f t="shared" si="220"/>
        <v>14875000</v>
      </c>
      <c r="O775" s="34"/>
      <c r="P775" s="34"/>
      <c r="Q775" s="34"/>
      <c r="R775" s="34"/>
      <c r="S775" s="34">
        <f t="shared" si="223"/>
        <v>14875000</v>
      </c>
      <c r="T775" s="4">
        <v>0</v>
      </c>
      <c r="U775" s="4">
        <v>0</v>
      </c>
      <c r="V775" s="34"/>
      <c r="W775" s="34"/>
      <c r="X775" s="34"/>
      <c r="Y775" s="34"/>
      <c r="Z775" s="34">
        <v>0</v>
      </c>
      <c r="AA775" s="8">
        <f t="shared" ref="AA775" si="229">AB775/365*211</f>
        <v>752410.10273972608</v>
      </c>
      <c r="AB775" s="8">
        <f>N775*8.75/100</f>
        <v>1301562.5</v>
      </c>
      <c r="AC775" s="4">
        <f t="shared" si="226"/>
        <v>1301562.5</v>
      </c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</row>
    <row r="776" spans="1:61" s="37" customFormat="1" ht="27.6" customHeight="1" x14ac:dyDescent="0.2">
      <c r="A776" s="9">
        <v>763</v>
      </c>
      <c r="B776" s="58" t="s">
        <v>653</v>
      </c>
      <c r="C776" s="9" t="s">
        <v>394</v>
      </c>
      <c r="D776" s="71">
        <v>920000</v>
      </c>
      <c r="E776" s="9"/>
      <c r="F776" s="9"/>
      <c r="G776" s="62"/>
      <c r="H776" s="54">
        <v>8.75</v>
      </c>
      <c r="I776" s="94"/>
      <c r="J776" s="94"/>
      <c r="K776" s="34"/>
      <c r="L776" s="34"/>
      <c r="M776" s="8">
        <v>0</v>
      </c>
      <c r="N776" s="8">
        <f t="shared" si="220"/>
        <v>920000</v>
      </c>
      <c r="O776" s="34"/>
      <c r="P776" s="34"/>
      <c r="Q776" s="34"/>
      <c r="R776" s="34"/>
      <c r="S776" s="34">
        <f t="shared" si="223"/>
        <v>920000</v>
      </c>
      <c r="T776" s="4">
        <v>0</v>
      </c>
      <c r="U776" s="4">
        <v>0</v>
      </c>
      <c r="V776" s="34"/>
      <c r="W776" s="34"/>
      <c r="X776" s="34"/>
      <c r="Y776" s="34"/>
      <c r="Z776" s="34">
        <v>0</v>
      </c>
      <c r="AA776" s="8">
        <f>AB776/365*210</f>
        <v>46315.068493150691</v>
      </c>
      <c r="AB776" s="8">
        <f t="shared" ref="AB776:AB781" si="230">N776*8.75/100</f>
        <v>80500</v>
      </c>
      <c r="AC776" s="4">
        <f t="shared" si="226"/>
        <v>80500</v>
      </c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</row>
    <row r="777" spans="1:61" s="37" customFormat="1" ht="27.6" customHeight="1" x14ac:dyDescent="0.2">
      <c r="A777" s="9">
        <v>764</v>
      </c>
      <c r="B777" s="58" t="s">
        <v>653</v>
      </c>
      <c r="C777" s="9" t="s">
        <v>394</v>
      </c>
      <c r="D777" s="71">
        <v>18035000</v>
      </c>
      <c r="E777" s="9"/>
      <c r="F777" s="9"/>
      <c r="G777" s="62"/>
      <c r="H777" s="54">
        <v>8.75</v>
      </c>
      <c r="I777" s="94"/>
      <c r="J777" s="94"/>
      <c r="K777" s="34"/>
      <c r="L777" s="34"/>
      <c r="M777" s="8">
        <v>0</v>
      </c>
      <c r="N777" s="8">
        <f t="shared" si="220"/>
        <v>18035000</v>
      </c>
      <c r="O777" s="34"/>
      <c r="P777" s="34"/>
      <c r="Q777" s="34"/>
      <c r="R777" s="34"/>
      <c r="S777" s="34">
        <f t="shared" si="223"/>
        <v>18035000</v>
      </c>
      <c r="T777" s="4">
        <v>0</v>
      </c>
      <c r="U777" s="4">
        <v>0</v>
      </c>
      <c r="V777" s="34"/>
      <c r="W777" s="34"/>
      <c r="X777" s="34"/>
      <c r="Y777" s="34"/>
      <c r="Z777" s="34">
        <v>0</v>
      </c>
      <c r="AA777" s="8">
        <f t="shared" ref="AA777:AA780" si="231">AB777/365*210</f>
        <v>907926.36986301362</v>
      </c>
      <c r="AB777" s="8">
        <f t="shared" si="230"/>
        <v>1578062.5</v>
      </c>
      <c r="AC777" s="4">
        <f t="shared" si="226"/>
        <v>1578062.5</v>
      </c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</row>
    <row r="778" spans="1:61" s="37" customFormat="1" ht="27.6" customHeight="1" x14ac:dyDescent="0.2">
      <c r="A778" s="9">
        <v>765</v>
      </c>
      <c r="B778" s="58" t="s">
        <v>653</v>
      </c>
      <c r="C778" s="9" t="s">
        <v>394</v>
      </c>
      <c r="D778" s="71">
        <v>1130000</v>
      </c>
      <c r="E778" s="9"/>
      <c r="F778" s="9"/>
      <c r="G778" s="62"/>
      <c r="H778" s="54">
        <v>8.75</v>
      </c>
      <c r="I778" s="94"/>
      <c r="J778" s="94"/>
      <c r="K778" s="34"/>
      <c r="L778" s="34"/>
      <c r="M778" s="8">
        <v>0</v>
      </c>
      <c r="N778" s="8">
        <f t="shared" si="220"/>
        <v>1130000</v>
      </c>
      <c r="O778" s="34"/>
      <c r="P778" s="34"/>
      <c r="Q778" s="34"/>
      <c r="R778" s="34"/>
      <c r="S778" s="34">
        <f t="shared" si="223"/>
        <v>1130000</v>
      </c>
      <c r="T778" s="4">
        <v>0</v>
      </c>
      <c r="U778" s="4">
        <v>0</v>
      </c>
      <c r="V778" s="34"/>
      <c r="W778" s="34"/>
      <c r="X778" s="34"/>
      <c r="Y778" s="34"/>
      <c r="Z778" s="34">
        <v>0</v>
      </c>
      <c r="AA778" s="8">
        <f t="shared" si="231"/>
        <v>56886.986301369863</v>
      </c>
      <c r="AB778" s="8">
        <f t="shared" si="230"/>
        <v>98875</v>
      </c>
      <c r="AC778" s="4">
        <f t="shared" si="226"/>
        <v>98875</v>
      </c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</row>
    <row r="779" spans="1:61" s="37" customFormat="1" ht="27.6" customHeight="1" x14ac:dyDescent="0.2">
      <c r="A779" s="9">
        <v>766</v>
      </c>
      <c r="B779" s="58" t="s">
        <v>653</v>
      </c>
      <c r="C779" s="9" t="s">
        <v>394</v>
      </c>
      <c r="D779" s="71">
        <v>8197000</v>
      </c>
      <c r="E779" s="9"/>
      <c r="F779" s="9"/>
      <c r="G779" s="62"/>
      <c r="H779" s="54">
        <v>8.75</v>
      </c>
      <c r="I779" s="94"/>
      <c r="J779" s="94"/>
      <c r="K779" s="34"/>
      <c r="L779" s="34"/>
      <c r="M779" s="8">
        <v>0</v>
      </c>
      <c r="N779" s="8">
        <f t="shared" si="220"/>
        <v>8197000</v>
      </c>
      <c r="O779" s="34"/>
      <c r="P779" s="34"/>
      <c r="Q779" s="34"/>
      <c r="R779" s="34"/>
      <c r="S779" s="34">
        <f t="shared" si="223"/>
        <v>8197000</v>
      </c>
      <c r="T779" s="4">
        <v>0</v>
      </c>
      <c r="U779" s="4">
        <v>0</v>
      </c>
      <c r="V779" s="34"/>
      <c r="W779" s="34"/>
      <c r="X779" s="34"/>
      <c r="Y779" s="34"/>
      <c r="Z779" s="34">
        <v>0</v>
      </c>
      <c r="AA779" s="8">
        <f t="shared" si="231"/>
        <v>412657.19178082189</v>
      </c>
      <c r="AB779" s="8">
        <f t="shared" si="230"/>
        <v>717237.5</v>
      </c>
      <c r="AC779" s="4">
        <f t="shared" si="226"/>
        <v>717237.5</v>
      </c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</row>
    <row r="780" spans="1:61" s="37" customFormat="1" ht="27.6" customHeight="1" x14ac:dyDescent="0.2">
      <c r="A780" s="9">
        <v>767</v>
      </c>
      <c r="B780" s="58" t="s">
        <v>653</v>
      </c>
      <c r="C780" s="9" t="s">
        <v>394</v>
      </c>
      <c r="D780" s="71">
        <v>64930000</v>
      </c>
      <c r="E780" s="9"/>
      <c r="F780" s="9"/>
      <c r="G780" s="62"/>
      <c r="H780" s="54">
        <v>8.75</v>
      </c>
      <c r="I780" s="94"/>
      <c r="J780" s="94"/>
      <c r="K780" s="34"/>
      <c r="L780" s="34"/>
      <c r="M780" s="8">
        <v>0</v>
      </c>
      <c r="N780" s="8">
        <f t="shared" si="220"/>
        <v>64930000</v>
      </c>
      <c r="O780" s="34"/>
      <c r="P780" s="34"/>
      <c r="Q780" s="34"/>
      <c r="R780" s="34"/>
      <c r="S780" s="34">
        <f t="shared" si="223"/>
        <v>64930000</v>
      </c>
      <c r="T780" s="4">
        <v>0</v>
      </c>
      <c r="U780" s="4">
        <v>0</v>
      </c>
      <c r="V780" s="34"/>
      <c r="W780" s="34"/>
      <c r="X780" s="34"/>
      <c r="Y780" s="34"/>
      <c r="Z780" s="34">
        <v>0</v>
      </c>
      <c r="AA780" s="8">
        <f t="shared" si="231"/>
        <v>3268736.3013698631</v>
      </c>
      <c r="AB780" s="8">
        <f t="shared" si="230"/>
        <v>5681375</v>
      </c>
      <c r="AC780" s="4">
        <f t="shared" si="226"/>
        <v>5681375</v>
      </c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</row>
    <row r="781" spans="1:61" s="37" customFormat="1" ht="27.6" customHeight="1" x14ac:dyDescent="0.2">
      <c r="A781" s="9">
        <v>768</v>
      </c>
      <c r="B781" s="58" t="s">
        <v>655</v>
      </c>
      <c r="C781" s="9" t="s">
        <v>394</v>
      </c>
      <c r="D781" s="71">
        <v>3979000</v>
      </c>
      <c r="E781" s="9"/>
      <c r="F781" s="9"/>
      <c r="G781" s="62"/>
      <c r="H781" s="54">
        <v>8.75</v>
      </c>
      <c r="I781" s="94"/>
      <c r="J781" s="94"/>
      <c r="K781" s="34"/>
      <c r="L781" s="34"/>
      <c r="M781" s="8">
        <v>0</v>
      </c>
      <c r="N781" s="8">
        <f t="shared" si="220"/>
        <v>3979000</v>
      </c>
      <c r="O781" s="34"/>
      <c r="P781" s="34"/>
      <c r="Q781" s="34"/>
      <c r="R781" s="34"/>
      <c r="S781" s="34">
        <f t="shared" si="223"/>
        <v>3979000</v>
      </c>
      <c r="T781" s="8">
        <v>0</v>
      </c>
      <c r="U781" s="4">
        <v>0</v>
      </c>
      <c r="V781" s="34"/>
      <c r="W781" s="34"/>
      <c r="X781" s="34"/>
      <c r="Y781" s="34"/>
      <c r="Z781" s="34">
        <v>0</v>
      </c>
      <c r="AA781" s="8">
        <f>AB781/365*201</f>
        <v>191727.84246575341</v>
      </c>
      <c r="AB781" s="8">
        <f t="shared" si="230"/>
        <v>348162.5</v>
      </c>
      <c r="AC781" s="4">
        <f t="shared" si="226"/>
        <v>348162.5</v>
      </c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</row>
    <row r="782" spans="1:61" s="37" customFormat="1" ht="27.6" customHeight="1" x14ac:dyDescent="0.2">
      <c r="A782" s="9">
        <v>769</v>
      </c>
      <c r="B782" s="58" t="s">
        <v>659</v>
      </c>
      <c r="C782" s="9" t="s">
        <v>394</v>
      </c>
      <c r="D782" s="71">
        <v>56952000</v>
      </c>
      <c r="E782" s="9"/>
      <c r="F782" s="9"/>
      <c r="G782" s="62"/>
      <c r="H782" s="54">
        <v>8</v>
      </c>
      <c r="I782" s="94"/>
      <c r="J782" s="94"/>
      <c r="K782" s="34"/>
      <c r="L782" s="34"/>
      <c r="M782" s="8">
        <v>0</v>
      </c>
      <c r="N782" s="8">
        <f t="shared" si="220"/>
        <v>56952000</v>
      </c>
      <c r="O782" s="34"/>
      <c r="P782" s="34"/>
      <c r="Q782" s="34"/>
      <c r="R782" s="34"/>
      <c r="S782" s="34">
        <f t="shared" si="223"/>
        <v>56952000</v>
      </c>
      <c r="T782" s="4">
        <v>0</v>
      </c>
      <c r="U782" s="4">
        <v>0</v>
      </c>
      <c r="V782" s="34"/>
      <c r="W782" s="34"/>
      <c r="X782" s="34"/>
      <c r="Y782" s="34"/>
      <c r="Z782" s="34">
        <v>0</v>
      </c>
      <c r="AA782" s="8">
        <f>AB782/365*181</f>
        <v>2259356.0547945206</v>
      </c>
      <c r="AB782" s="8">
        <f>N782*8/100</f>
        <v>4556160</v>
      </c>
      <c r="AC782" s="4">
        <f t="shared" si="226"/>
        <v>4556160</v>
      </c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</row>
    <row r="783" spans="1:61" s="37" customFormat="1" ht="27.6" customHeight="1" x14ac:dyDescent="0.2">
      <c r="A783" s="9">
        <v>770</v>
      </c>
      <c r="B783" s="58" t="s">
        <v>660</v>
      </c>
      <c r="C783" s="9" t="s">
        <v>394</v>
      </c>
      <c r="D783" s="71">
        <v>21782000</v>
      </c>
      <c r="E783" s="9"/>
      <c r="F783" s="9"/>
      <c r="G783" s="62"/>
      <c r="H783" s="54">
        <v>7.5</v>
      </c>
      <c r="I783" s="94"/>
      <c r="J783" s="94"/>
      <c r="K783" s="34"/>
      <c r="L783" s="34"/>
      <c r="M783" s="8">
        <v>0</v>
      </c>
      <c r="N783" s="8">
        <f t="shared" si="220"/>
        <v>21782000</v>
      </c>
      <c r="O783" s="34"/>
      <c r="P783" s="34"/>
      <c r="Q783" s="34"/>
      <c r="R783" s="34"/>
      <c r="S783" s="34">
        <f t="shared" si="223"/>
        <v>21782000</v>
      </c>
      <c r="T783" s="4">
        <v>0</v>
      </c>
      <c r="U783" s="4">
        <v>0</v>
      </c>
      <c r="V783" s="34"/>
      <c r="W783" s="34"/>
      <c r="X783" s="34"/>
      <c r="Y783" s="34"/>
      <c r="Z783" s="34">
        <v>0</v>
      </c>
      <c r="AA783" s="8">
        <f>AB783/365*167</f>
        <v>747450.82191780827</v>
      </c>
      <c r="AB783" s="8">
        <f>N783*7.5/100</f>
        <v>1633650</v>
      </c>
      <c r="AC783" s="4">
        <f t="shared" si="226"/>
        <v>1633650</v>
      </c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</row>
    <row r="784" spans="1:61" s="37" customFormat="1" ht="27.6" customHeight="1" x14ac:dyDescent="0.2">
      <c r="A784" s="9">
        <v>771</v>
      </c>
      <c r="B784" s="58" t="s">
        <v>660</v>
      </c>
      <c r="C784" s="9" t="s">
        <v>394</v>
      </c>
      <c r="D784" s="71">
        <v>24194000</v>
      </c>
      <c r="E784" s="9"/>
      <c r="F784" s="9"/>
      <c r="G784" s="62"/>
      <c r="H784" s="54">
        <v>7.5</v>
      </c>
      <c r="I784" s="94"/>
      <c r="J784" s="94"/>
      <c r="K784" s="34"/>
      <c r="L784" s="34"/>
      <c r="M784" s="8">
        <v>0</v>
      </c>
      <c r="N784" s="8">
        <f t="shared" si="220"/>
        <v>24194000</v>
      </c>
      <c r="O784" s="34"/>
      <c r="P784" s="34"/>
      <c r="Q784" s="34"/>
      <c r="R784" s="34"/>
      <c r="S784" s="34">
        <f t="shared" si="223"/>
        <v>24194000</v>
      </c>
      <c r="T784" s="4">
        <v>0</v>
      </c>
      <c r="U784" s="4">
        <v>0</v>
      </c>
      <c r="V784" s="34"/>
      <c r="W784" s="34"/>
      <c r="X784" s="34"/>
      <c r="Y784" s="34"/>
      <c r="Z784" s="34">
        <v>0</v>
      </c>
      <c r="AA784" s="8">
        <f t="shared" ref="AA784:AA788" si="232">AB784/365*167</f>
        <v>830218.76712328766</v>
      </c>
      <c r="AB784" s="8">
        <f t="shared" ref="AB784:AB788" si="233">N784*7.5/100</f>
        <v>1814550</v>
      </c>
      <c r="AC784" s="4">
        <f t="shared" si="226"/>
        <v>1814550</v>
      </c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</row>
    <row r="785" spans="1:61" s="37" customFormat="1" ht="27.6" customHeight="1" x14ac:dyDescent="0.2">
      <c r="A785" s="9">
        <v>772</v>
      </c>
      <c r="B785" s="58" t="s">
        <v>660</v>
      </c>
      <c r="C785" s="9" t="s">
        <v>394</v>
      </c>
      <c r="D785" s="71">
        <v>12880000</v>
      </c>
      <c r="E785" s="9"/>
      <c r="F785" s="9"/>
      <c r="G785" s="62"/>
      <c r="H785" s="54">
        <v>7.5</v>
      </c>
      <c r="I785" s="94"/>
      <c r="J785" s="94"/>
      <c r="K785" s="34"/>
      <c r="L785" s="34"/>
      <c r="M785" s="8">
        <v>0</v>
      </c>
      <c r="N785" s="8">
        <f t="shared" si="220"/>
        <v>12880000</v>
      </c>
      <c r="O785" s="34"/>
      <c r="P785" s="34"/>
      <c r="Q785" s="34"/>
      <c r="R785" s="34"/>
      <c r="S785" s="34">
        <f t="shared" si="223"/>
        <v>12880000</v>
      </c>
      <c r="T785" s="4">
        <v>0</v>
      </c>
      <c r="U785" s="4">
        <v>0</v>
      </c>
      <c r="V785" s="34"/>
      <c r="W785" s="34"/>
      <c r="X785" s="34"/>
      <c r="Y785" s="34"/>
      <c r="Z785" s="34">
        <v>0</v>
      </c>
      <c r="AA785" s="8">
        <f t="shared" si="232"/>
        <v>441978.08219178079</v>
      </c>
      <c r="AB785" s="8">
        <f t="shared" si="233"/>
        <v>966000</v>
      </c>
      <c r="AC785" s="4">
        <f t="shared" si="226"/>
        <v>966000</v>
      </c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</row>
    <row r="786" spans="1:61" s="37" customFormat="1" ht="27.6" customHeight="1" x14ac:dyDescent="0.2">
      <c r="A786" s="9">
        <v>773</v>
      </c>
      <c r="B786" s="58" t="s">
        <v>660</v>
      </c>
      <c r="C786" s="9" t="s">
        <v>394</v>
      </c>
      <c r="D786" s="71">
        <v>6942000</v>
      </c>
      <c r="E786" s="9"/>
      <c r="F786" s="9"/>
      <c r="G786" s="62"/>
      <c r="H786" s="54">
        <v>7.5</v>
      </c>
      <c r="I786" s="94"/>
      <c r="J786" s="94"/>
      <c r="K786" s="34"/>
      <c r="L786" s="34"/>
      <c r="M786" s="8">
        <v>0</v>
      </c>
      <c r="N786" s="8">
        <f t="shared" si="220"/>
        <v>6942000</v>
      </c>
      <c r="O786" s="34"/>
      <c r="P786" s="34"/>
      <c r="Q786" s="34"/>
      <c r="R786" s="34"/>
      <c r="S786" s="34">
        <f t="shared" si="223"/>
        <v>6942000</v>
      </c>
      <c r="T786" s="4">
        <v>0</v>
      </c>
      <c r="U786" s="4">
        <v>0</v>
      </c>
      <c r="V786" s="34"/>
      <c r="W786" s="34"/>
      <c r="X786" s="34"/>
      <c r="Y786" s="34"/>
      <c r="Z786" s="34">
        <v>0</v>
      </c>
      <c r="AA786" s="8">
        <f t="shared" si="232"/>
        <v>238215.20547945207</v>
      </c>
      <c r="AB786" s="8">
        <f t="shared" si="233"/>
        <v>520650</v>
      </c>
      <c r="AC786" s="4">
        <f t="shared" si="226"/>
        <v>520650</v>
      </c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</row>
    <row r="787" spans="1:61" s="37" customFormat="1" ht="27.6" customHeight="1" x14ac:dyDescent="0.2">
      <c r="A787" s="9">
        <v>774</v>
      </c>
      <c r="B787" s="58" t="s">
        <v>660</v>
      </c>
      <c r="C787" s="9" t="s">
        <v>394</v>
      </c>
      <c r="D787" s="71">
        <v>1002000</v>
      </c>
      <c r="E787" s="9"/>
      <c r="F787" s="9"/>
      <c r="G787" s="62"/>
      <c r="H787" s="54">
        <v>7.5</v>
      </c>
      <c r="I787" s="94"/>
      <c r="J787" s="94"/>
      <c r="K787" s="34"/>
      <c r="L787" s="34"/>
      <c r="M787" s="8">
        <v>0</v>
      </c>
      <c r="N787" s="8">
        <f t="shared" si="220"/>
        <v>1002000</v>
      </c>
      <c r="O787" s="34"/>
      <c r="P787" s="34"/>
      <c r="Q787" s="34"/>
      <c r="R787" s="34"/>
      <c r="S787" s="34">
        <f t="shared" si="223"/>
        <v>1002000</v>
      </c>
      <c r="T787" s="4">
        <v>0</v>
      </c>
      <c r="U787" s="4">
        <v>0</v>
      </c>
      <c r="V787" s="34"/>
      <c r="W787" s="34"/>
      <c r="X787" s="34"/>
      <c r="Y787" s="34"/>
      <c r="Z787" s="34">
        <v>0</v>
      </c>
      <c r="AA787" s="8">
        <f t="shared" si="232"/>
        <v>34383.698630136983</v>
      </c>
      <c r="AB787" s="8">
        <f t="shared" si="233"/>
        <v>75150</v>
      </c>
      <c r="AC787" s="4">
        <f t="shared" si="226"/>
        <v>75150</v>
      </c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</row>
    <row r="788" spans="1:61" s="37" customFormat="1" ht="27.6" customHeight="1" x14ac:dyDescent="0.2">
      <c r="A788" s="9">
        <v>775</v>
      </c>
      <c r="B788" s="58" t="s">
        <v>660</v>
      </c>
      <c r="C788" s="9" t="s">
        <v>394</v>
      </c>
      <c r="D788" s="71">
        <v>5822000</v>
      </c>
      <c r="E788" s="9"/>
      <c r="F788" s="9"/>
      <c r="G788" s="62"/>
      <c r="H788" s="54">
        <v>7.5</v>
      </c>
      <c r="I788" s="94"/>
      <c r="J788" s="94"/>
      <c r="K788" s="34"/>
      <c r="L788" s="34"/>
      <c r="M788" s="8">
        <v>0</v>
      </c>
      <c r="N788" s="8">
        <f t="shared" si="220"/>
        <v>5822000</v>
      </c>
      <c r="O788" s="34"/>
      <c r="P788" s="34"/>
      <c r="Q788" s="34"/>
      <c r="R788" s="34"/>
      <c r="S788" s="34">
        <f t="shared" si="223"/>
        <v>5822000</v>
      </c>
      <c r="T788" s="4">
        <v>0</v>
      </c>
      <c r="U788" s="4">
        <v>0</v>
      </c>
      <c r="V788" s="34"/>
      <c r="W788" s="34"/>
      <c r="X788" s="34"/>
      <c r="Y788" s="34"/>
      <c r="Z788" s="34">
        <v>0</v>
      </c>
      <c r="AA788" s="8">
        <f t="shared" si="232"/>
        <v>199782.32876712328</v>
      </c>
      <c r="AB788" s="8">
        <f t="shared" si="233"/>
        <v>436650</v>
      </c>
      <c r="AC788" s="4">
        <f t="shared" si="226"/>
        <v>436650</v>
      </c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</row>
    <row r="789" spans="1:61" s="37" customFormat="1" ht="27.6" customHeight="1" x14ac:dyDescent="0.2">
      <c r="A789" s="9">
        <v>776</v>
      </c>
      <c r="B789" s="58" t="s">
        <v>663</v>
      </c>
      <c r="C789" s="9" t="s">
        <v>394</v>
      </c>
      <c r="D789" s="71">
        <v>14204000</v>
      </c>
      <c r="E789" s="9"/>
      <c r="F789" s="9"/>
      <c r="G789" s="62"/>
      <c r="H789" s="54">
        <v>7.25</v>
      </c>
      <c r="I789" s="94"/>
      <c r="J789" s="94"/>
      <c r="K789" s="34"/>
      <c r="L789" s="34"/>
      <c r="M789" s="8">
        <v>0</v>
      </c>
      <c r="N789" s="8">
        <f t="shared" si="220"/>
        <v>14204000</v>
      </c>
      <c r="O789" s="34"/>
      <c r="P789" s="34"/>
      <c r="Q789" s="34"/>
      <c r="R789" s="34"/>
      <c r="S789" s="34">
        <f t="shared" si="223"/>
        <v>14204000</v>
      </c>
      <c r="T789" s="4">
        <v>0</v>
      </c>
      <c r="U789" s="4">
        <v>0</v>
      </c>
      <c r="V789" s="34"/>
      <c r="W789" s="34"/>
      <c r="X789" s="34"/>
      <c r="Y789" s="34"/>
      <c r="Z789" s="34">
        <v>0</v>
      </c>
      <c r="AA789" s="8">
        <f>AB789/365*153</f>
        <v>431665.39726027398</v>
      </c>
      <c r="AB789" s="8">
        <f>N789*7.25/100</f>
        <v>1029790</v>
      </c>
      <c r="AC789" s="4">
        <f t="shared" si="226"/>
        <v>1029789.9999999999</v>
      </c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</row>
    <row r="790" spans="1:61" s="37" customFormat="1" ht="27.6" customHeight="1" x14ac:dyDescent="0.2">
      <c r="A790" s="9">
        <v>777</v>
      </c>
      <c r="B790" s="58" t="s">
        <v>664</v>
      </c>
      <c r="C790" s="9" t="s">
        <v>394</v>
      </c>
      <c r="D790" s="71">
        <v>13703000</v>
      </c>
      <c r="E790" s="9"/>
      <c r="F790" s="9"/>
      <c r="G790" s="62"/>
      <c r="H790" s="54">
        <v>7.25</v>
      </c>
      <c r="I790" s="94"/>
      <c r="J790" s="94"/>
      <c r="K790" s="34"/>
      <c r="L790" s="34"/>
      <c r="M790" s="8">
        <v>0</v>
      </c>
      <c r="N790" s="8">
        <f t="shared" si="220"/>
        <v>13703000</v>
      </c>
      <c r="O790" s="34"/>
      <c r="P790" s="34"/>
      <c r="Q790" s="34"/>
      <c r="R790" s="34"/>
      <c r="S790" s="34">
        <f t="shared" si="223"/>
        <v>13703000</v>
      </c>
      <c r="T790" s="4">
        <v>0</v>
      </c>
      <c r="U790" s="4">
        <v>0</v>
      </c>
      <c r="V790" s="34"/>
      <c r="W790" s="34"/>
      <c r="X790" s="34"/>
      <c r="Y790" s="34"/>
      <c r="Z790" s="34">
        <v>0</v>
      </c>
      <c r="AA790" s="8">
        <f>AB790/365*148</f>
        <v>402830.65753424662</v>
      </c>
      <c r="AB790" s="8">
        <f>N790*7.25/100</f>
        <v>993467.5</v>
      </c>
      <c r="AC790" s="4">
        <f t="shared" si="226"/>
        <v>993467.49999999988</v>
      </c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</row>
    <row r="791" spans="1:61" s="37" customFormat="1" ht="27.6" customHeight="1" x14ac:dyDescent="0.2">
      <c r="A791" s="9">
        <v>778</v>
      </c>
      <c r="B791" s="58" t="s">
        <v>664</v>
      </c>
      <c r="C791" s="9" t="s">
        <v>394</v>
      </c>
      <c r="D791" s="71">
        <v>2614000</v>
      </c>
      <c r="E791" s="9"/>
      <c r="F791" s="9"/>
      <c r="G791" s="62"/>
      <c r="H791" s="54">
        <v>7.25</v>
      </c>
      <c r="I791" s="94"/>
      <c r="J791" s="94"/>
      <c r="K791" s="34"/>
      <c r="L791" s="34"/>
      <c r="M791" s="8">
        <v>0</v>
      </c>
      <c r="N791" s="8">
        <f t="shared" si="220"/>
        <v>2614000</v>
      </c>
      <c r="O791" s="34"/>
      <c r="P791" s="34"/>
      <c r="Q791" s="34"/>
      <c r="R791" s="34"/>
      <c r="S791" s="34">
        <f t="shared" si="223"/>
        <v>2614000</v>
      </c>
      <c r="T791" s="4">
        <v>0</v>
      </c>
      <c r="U791" s="4">
        <v>0</v>
      </c>
      <c r="V791" s="34"/>
      <c r="W791" s="34"/>
      <c r="X791" s="34"/>
      <c r="Y791" s="34"/>
      <c r="Z791" s="34">
        <v>0</v>
      </c>
      <c r="AA791" s="8">
        <f t="shared" ref="AA791:AA795" si="234">AB791/365*148</f>
        <v>76844.438356164377</v>
      </c>
      <c r="AB791" s="8">
        <f t="shared" ref="AB791:AB811" si="235">N791*7.25/100</f>
        <v>189515</v>
      </c>
      <c r="AC791" s="4">
        <f t="shared" si="226"/>
        <v>189515</v>
      </c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</row>
    <row r="792" spans="1:61" s="37" customFormat="1" ht="27.6" customHeight="1" x14ac:dyDescent="0.2">
      <c r="A792" s="9">
        <v>779</v>
      </c>
      <c r="B792" s="58" t="s">
        <v>664</v>
      </c>
      <c r="C792" s="9" t="s">
        <v>394</v>
      </c>
      <c r="D792" s="71">
        <v>1707000</v>
      </c>
      <c r="E792" s="9"/>
      <c r="F792" s="9"/>
      <c r="G792" s="62"/>
      <c r="H792" s="54">
        <v>7.25</v>
      </c>
      <c r="I792" s="94"/>
      <c r="J792" s="94"/>
      <c r="K792" s="34"/>
      <c r="L792" s="34"/>
      <c r="M792" s="8">
        <v>0</v>
      </c>
      <c r="N792" s="8">
        <f t="shared" si="220"/>
        <v>1707000</v>
      </c>
      <c r="O792" s="34"/>
      <c r="P792" s="34"/>
      <c r="Q792" s="34"/>
      <c r="R792" s="34"/>
      <c r="S792" s="34">
        <f t="shared" si="223"/>
        <v>1707000</v>
      </c>
      <c r="T792" s="4">
        <v>0</v>
      </c>
      <c r="U792" s="4">
        <v>0</v>
      </c>
      <c r="V792" s="34"/>
      <c r="W792" s="34"/>
      <c r="X792" s="34"/>
      <c r="Y792" s="34"/>
      <c r="Z792" s="34">
        <v>0</v>
      </c>
      <c r="AA792" s="8">
        <f t="shared" si="234"/>
        <v>50181.123287671231</v>
      </c>
      <c r="AB792" s="8">
        <f t="shared" si="235"/>
        <v>123757.5</v>
      </c>
      <c r="AC792" s="4">
        <f t="shared" si="226"/>
        <v>123757.49999999999</v>
      </c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</row>
    <row r="793" spans="1:61" s="37" customFormat="1" ht="27.6" customHeight="1" x14ac:dyDescent="0.2">
      <c r="A793" s="9">
        <v>780</v>
      </c>
      <c r="B793" s="58" t="s">
        <v>664</v>
      </c>
      <c r="C793" s="9" t="s">
        <v>394</v>
      </c>
      <c r="D793" s="71">
        <v>12414000</v>
      </c>
      <c r="E793" s="9"/>
      <c r="F793" s="9"/>
      <c r="G793" s="62"/>
      <c r="H793" s="54">
        <v>7.25</v>
      </c>
      <c r="I793" s="94"/>
      <c r="J793" s="94"/>
      <c r="K793" s="34"/>
      <c r="L793" s="34"/>
      <c r="M793" s="8">
        <v>0</v>
      </c>
      <c r="N793" s="8">
        <f t="shared" si="220"/>
        <v>12414000</v>
      </c>
      <c r="O793" s="34"/>
      <c r="P793" s="34"/>
      <c r="Q793" s="34"/>
      <c r="R793" s="34"/>
      <c r="S793" s="34">
        <f t="shared" si="223"/>
        <v>12414000</v>
      </c>
      <c r="T793" s="4">
        <v>0</v>
      </c>
      <c r="U793" s="4">
        <v>0</v>
      </c>
      <c r="V793" s="34"/>
      <c r="W793" s="34"/>
      <c r="X793" s="34"/>
      <c r="Y793" s="34"/>
      <c r="Z793" s="34">
        <v>0</v>
      </c>
      <c r="AA793" s="8">
        <f t="shared" si="234"/>
        <v>364937.58904109587</v>
      </c>
      <c r="AB793" s="8">
        <f t="shared" si="235"/>
        <v>900015</v>
      </c>
      <c r="AC793" s="4">
        <f t="shared" si="226"/>
        <v>900014.99999999988</v>
      </c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</row>
    <row r="794" spans="1:61" s="37" customFormat="1" ht="27.6" customHeight="1" x14ac:dyDescent="0.2">
      <c r="A794" s="9">
        <v>781</v>
      </c>
      <c r="B794" s="58" t="s">
        <v>664</v>
      </c>
      <c r="C794" s="9" t="s">
        <v>394</v>
      </c>
      <c r="D794" s="71">
        <v>13679000</v>
      </c>
      <c r="E794" s="9"/>
      <c r="F794" s="9"/>
      <c r="G794" s="62"/>
      <c r="H794" s="54">
        <v>7.25</v>
      </c>
      <c r="I794" s="94"/>
      <c r="J794" s="94"/>
      <c r="K794" s="34"/>
      <c r="L794" s="34"/>
      <c r="M794" s="8">
        <v>0</v>
      </c>
      <c r="N794" s="8">
        <f t="shared" si="220"/>
        <v>13679000</v>
      </c>
      <c r="O794" s="34"/>
      <c r="P794" s="34"/>
      <c r="Q794" s="34"/>
      <c r="R794" s="34"/>
      <c r="S794" s="34">
        <f t="shared" si="223"/>
        <v>13679000</v>
      </c>
      <c r="T794" s="4">
        <v>0</v>
      </c>
      <c r="U794" s="4">
        <v>0</v>
      </c>
      <c r="V794" s="34"/>
      <c r="W794" s="34"/>
      <c r="X794" s="34"/>
      <c r="Y794" s="34"/>
      <c r="Z794" s="34">
        <v>0</v>
      </c>
      <c r="AA794" s="8">
        <f t="shared" si="234"/>
        <v>402125.12328767125</v>
      </c>
      <c r="AB794" s="8">
        <f t="shared" si="235"/>
        <v>991727.5</v>
      </c>
      <c r="AC794" s="4">
        <f t="shared" si="226"/>
        <v>991727.49999999988</v>
      </c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</row>
    <row r="795" spans="1:61" s="37" customFormat="1" ht="27.6" customHeight="1" x14ac:dyDescent="0.2">
      <c r="A795" s="9">
        <v>782</v>
      </c>
      <c r="B795" s="58" t="s">
        <v>664</v>
      </c>
      <c r="C795" s="9" t="s">
        <v>394</v>
      </c>
      <c r="D795" s="71">
        <v>40456000</v>
      </c>
      <c r="E795" s="9"/>
      <c r="F795" s="9"/>
      <c r="G795" s="62"/>
      <c r="H795" s="54">
        <v>7.25</v>
      </c>
      <c r="I795" s="94"/>
      <c r="J795" s="94"/>
      <c r="K795" s="34"/>
      <c r="L795" s="34"/>
      <c r="M795" s="8">
        <v>0</v>
      </c>
      <c r="N795" s="8">
        <f t="shared" si="220"/>
        <v>40456000</v>
      </c>
      <c r="O795" s="34"/>
      <c r="P795" s="34"/>
      <c r="Q795" s="34"/>
      <c r="R795" s="34"/>
      <c r="S795" s="34">
        <f t="shared" si="223"/>
        <v>40456000</v>
      </c>
      <c r="T795" s="4">
        <v>0</v>
      </c>
      <c r="U795" s="4">
        <v>0</v>
      </c>
      <c r="V795" s="34"/>
      <c r="W795" s="34"/>
      <c r="X795" s="34"/>
      <c r="Y795" s="34"/>
      <c r="Z795" s="34">
        <v>0</v>
      </c>
      <c r="AA795" s="8">
        <f t="shared" si="234"/>
        <v>1189295.5616438356</v>
      </c>
      <c r="AB795" s="8">
        <f t="shared" si="235"/>
        <v>2933060</v>
      </c>
      <c r="AC795" s="4">
        <f t="shared" si="226"/>
        <v>2933060</v>
      </c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</row>
    <row r="796" spans="1:61" s="37" customFormat="1" ht="27.6" customHeight="1" x14ac:dyDescent="0.2">
      <c r="A796" s="9">
        <v>783</v>
      </c>
      <c r="B796" s="58" t="s">
        <v>665</v>
      </c>
      <c r="C796" s="9" t="s">
        <v>394</v>
      </c>
      <c r="D796" s="71">
        <v>7844000</v>
      </c>
      <c r="E796" s="9"/>
      <c r="F796" s="9"/>
      <c r="G796" s="62"/>
      <c r="H796" s="54">
        <v>7.25</v>
      </c>
      <c r="I796" s="94"/>
      <c r="J796" s="94"/>
      <c r="K796" s="34"/>
      <c r="L796" s="34"/>
      <c r="M796" s="8">
        <v>0</v>
      </c>
      <c r="N796" s="8">
        <f t="shared" si="220"/>
        <v>7844000</v>
      </c>
      <c r="O796" s="34"/>
      <c r="P796" s="34"/>
      <c r="Q796" s="34"/>
      <c r="R796" s="34"/>
      <c r="S796" s="34">
        <f t="shared" si="223"/>
        <v>7844000</v>
      </c>
      <c r="T796" s="4">
        <v>0</v>
      </c>
      <c r="U796" s="4">
        <v>0</v>
      </c>
      <c r="V796" s="34"/>
      <c r="W796" s="34"/>
      <c r="X796" s="34"/>
      <c r="Y796" s="34"/>
      <c r="Z796" s="34">
        <v>0</v>
      </c>
      <c r="AA796" s="8">
        <f>AB796/365*127</f>
        <v>197872.9589041096</v>
      </c>
      <c r="AB796" s="8">
        <f t="shared" si="235"/>
        <v>568690</v>
      </c>
      <c r="AC796" s="4">
        <f t="shared" si="226"/>
        <v>568690</v>
      </c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</row>
    <row r="797" spans="1:61" s="37" customFormat="1" ht="27.6" customHeight="1" x14ac:dyDescent="0.2">
      <c r="A797" s="9">
        <v>784</v>
      </c>
      <c r="B797" s="58" t="s">
        <v>666</v>
      </c>
      <c r="C797" s="9" t="s">
        <v>394</v>
      </c>
      <c r="D797" s="71">
        <v>23423000</v>
      </c>
      <c r="E797" s="9"/>
      <c r="F797" s="9"/>
      <c r="G797" s="62"/>
      <c r="H797" s="54">
        <v>7.25</v>
      </c>
      <c r="I797" s="94"/>
      <c r="J797" s="94"/>
      <c r="K797" s="34"/>
      <c r="L797" s="34"/>
      <c r="M797" s="8">
        <v>0</v>
      </c>
      <c r="N797" s="8">
        <f t="shared" si="220"/>
        <v>23423000</v>
      </c>
      <c r="O797" s="34"/>
      <c r="P797" s="34"/>
      <c r="Q797" s="34"/>
      <c r="R797" s="34"/>
      <c r="S797" s="34">
        <f t="shared" si="223"/>
        <v>23423000</v>
      </c>
      <c r="T797" s="4">
        <v>0</v>
      </c>
      <c r="U797" s="4">
        <v>0</v>
      </c>
      <c r="V797" s="34"/>
      <c r="W797" s="34"/>
      <c r="X797" s="34"/>
      <c r="Y797" s="34"/>
      <c r="Z797" s="34">
        <v>0</v>
      </c>
      <c r="AA797" s="8">
        <f>AB797/365*122</f>
        <v>567606.67123287672</v>
      </c>
      <c r="AB797" s="8">
        <f t="shared" si="235"/>
        <v>1698167.5</v>
      </c>
      <c r="AC797" s="4">
        <f t="shared" si="226"/>
        <v>1698167.4999999998</v>
      </c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</row>
    <row r="798" spans="1:61" s="37" customFormat="1" ht="27.6" customHeight="1" x14ac:dyDescent="0.2">
      <c r="A798" s="9">
        <v>785</v>
      </c>
      <c r="B798" s="58" t="s">
        <v>666</v>
      </c>
      <c r="C798" s="9" t="s">
        <v>394</v>
      </c>
      <c r="D798" s="71">
        <v>14403000</v>
      </c>
      <c r="E798" s="9"/>
      <c r="F798" s="9"/>
      <c r="G798" s="62"/>
      <c r="H798" s="54">
        <v>7.25</v>
      </c>
      <c r="I798" s="94"/>
      <c r="J798" s="94"/>
      <c r="K798" s="34"/>
      <c r="L798" s="34"/>
      <c r="M798" s="8">
        <v>0</v>
      </c>
      <c r="N798" s="8">
        <f t="shared" si="220"/>
        <v>14403000</v>
      </c>
      <c r="O798" s="34"/>
      <c r="P798" s="34"/>
      <c r="Q798" s="34"/>
      <c r="R798" s="34"/>
      <c r="S798" s="34">
        <f t="shared" si="223"/>
        <v>14403000</v>
      </c>
      <c r="T798" s="4">
        <v>0</v>
      </c>
      <c r="U798" s="4">
        <v>0</v>
      </c>
      <c r="V798" s="34"/>
      <c r="W798" s="34"/>
      <c r="X798" s="34"/>
      <c r="Y798" s="34"/>
      <c r="Z798" s="34">
        <v>0</v>
      </c>
      <c r="AA798" s="8">
        <f t="shared" ref="AA798:AA799" si="236">AB798/365*122</f>
        <v>349026.12328767125</v>
      </c>
      <c r="AB798" s="8">
        <f t="shared" si="235"/>
        <v>1044217.5</v>
      </c>
      <c r="AC798" s="4">
        <f t="shared" si="226"/>
        <v>1044217.4999999999</v>
      </c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</row>
    <row r="799" spans="1:61" s="37" customFormat="1" ht="27.6" customHeight="1" x14ac:dyDescent="0.2">
      <c r="A799" s="9">
        <v>786</v>
      </c>
      <c r="B799" s="58" t="s">
        <v>666</v>
      </c>
      <c r="C799" s="9" t="s">
        <v>394</v>
      </c>
      <c r="D799" s="71">
        <v>7781000</v>
      </c>
      <c r="E799" s="9"/>
      <c r="F799" s="9"/>
      <c r="G799" s="62"/>
      <c r="H799" s="54">
        <v>7.25</v>
      </c>
      <c r="I799" s="94"/>
      <c r="J799" s="94"/>
      <c r="K799" s="34"/>
      <c r="L799" s="34"/>
      <c r="M799" s="8">
        <v>0</v>
      </c>
      <c r="N799" s="8">
        <f t="shared" si="220"/>
        <v>7781000</v>
      </c>
      <c r="O799" s="34"/>
      <c r="P799" s="34"/>
      <c r="Q799" s="34"/>
      <c r="R799" s="34"/>
      <c r="S799" s="34">
        <f t="shared" si="223"/>
        <v>7781000</v>
      </c>
      <c r="T799" s="4">
        <v>0</v>
      </c>
      <c r="U799" s="4">
        <v>0</v>
      </c>
      <c r="V799" s="34"/>
      <c r="W799" s="34"/>
      <c r="X799" s="34"/>
      <c r="Y799" s="34"/>
      <c r="Z799" s="34">
        <v>0</v>
      </c>
      <c r="AA799" s="8">
        <f t="shared" si="236"/>
        <v>188556.01369863015</v>
      </c>
      <c r="AB799" s="8">
        <f t="shared" si="235"/>
        <v>564122.5</v>
      </c>
      <c r="AC799" s="4">
        <f t="shared" si="226"/>
        <v>564122.5</v>
      </c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</row>
    <row r="800" spans="1:61" s="37" customFormat="1" ht="27.6" customHeight="1" x14ac:dyDescent="0.2">
      <c r="A800" s="9">
        <v>787</v>
      </c>
      <c r="B800" s="58" t="s">
        <v>670</v>
      </c>
      <c r="C800" s="9" t="s">
        <v>394</v>
      </c>
      <c r="D800" s="71">
        <v>39228000</v>
      </c>
      <c r="E800" s="9"/>
      <c r="F800" s="9"/>
      <c r="G800" s="62"/>
      <c r="H800" s="54">
        <v>7.25</v>
      </c>
      <c r="I800" s="94"/>
      <c r="J800" s="94"/>
      <c r="K800" s="34"/>
      <c r="L800" s="34"/>
      <c r="M800" s="8">
        <v>0</v>
      </c>
      <c r="N800" s="8">
        <f t="shared" si="220"/>
        <v>39228000</v>
      </c>
      <c r="O800" s="34"/>
      <c r="P800" s="34"/>
      <c r="Q800" s="34"/>
      <c r="R800" s="34"/>
      <c r="S800" s="34">
        <f t="shared" si="223"/>
        <v>39228000</v>
      </c>
      <c r="T800" s="4">
        <v>0</v>
      </c>
      <c r="U800" s="4">
        <v>0</v>
      </c>
      <c r="V800" s="34"/>
      <c r="W800" s="34"/>
      <c r="X800" s="34"/>
      <c r="Y800" s="34"/>
      <c r="Z800" s="34">
        <v>0</v>
      </c>
      <c r="AA800" s="8">
        <f>AB800/365*90</f>
        <v>701267.67123287672</v>
      </c>
      <c r="AB800" s="8">
        <f t="shared" si="235"/>
        <v>2844030</v>
      </c>
      <c r="AC800" s="4">
        <f t="shared" si="226"/>
        <v>2844030</v>
      </c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</row>
    <row r="801" spans="1:61" s="37" customFormat="1" ht="27.6" customHeight="1" x14ac:dyDescent="0.2">
      <c r="A801" s="9">
        <v>788</v>
      </c>
      <c r="B801" s="58" t="s">
        <v>671</v>
      </c>
      <c r="C801" s="9" t="s">
        <v>394</v>
      </c>
      <c r="D801" s="71">
        <v>22534000</v>
      </c>
      <c r="E801" s="9"/>
      <c r="F801" s="9"/>
      <c r="G801" s="62"/>
      <c r="H801" s="54">
        <v>7.25</v>
      </c>
      <c r="I801" s="94"/>
      <c r="J801" s="94"/>
      <c r="K801" s="34"/>
      <c r="L801" s="34"/>
      <c r="M801" s="8">
        <v>0</v>
      </c>
      <c r="N801" s="8">
        <f t="shared" si="220"/>
        <v>22534000</v>
      </c>
      <c r="O801" s="34"/>
      <c r="P801" s="34"/>
      <c r="Q801" s="34"/>
      <c r="R801" s="34"/>
      <c r="S801" s="34">
        <f t="shared" si="223"/>
        <v>22534000</v>
      </c>
      <c r="T801" s="4">
        <v>0</v>
      </c>
      <c r="U801" s="4">
        <v>0</v>
      </c>
      <c r="V801" s="34"/>
      <c r="W801" s="34"/>
      <c r="X801" s="34"/>
      <c r="Y801" s="34"/>
      <c r="Z801" s="34">
        <v>0</v>
      </c>
      <c r="AA801" s="8">
        <f>AB801/365*84</f>
        <v>375978.24657534249</v>
      </c>
      <c r="AB801" s="8">
        <f t="shared" si="235"/>
        <v>1633715</v>
      </c>
      <c r="AC801" s="4">
        <f t="shared" si="226"/>
        <v>1633715</v>
      </c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</row>
    <row r="802" spans="1:61" s="37" customFormat="1" ht="27.6" customHeight="1" x14ac:dyDescent="0.2">
      <c r="A802" s="9">
        <v>789</v>
      </c>
      <c r="B802" s="58" t="s">
        <v>671</v>
      </c>
      <c r="C802" s="9" t="s">
        <v>394</v>
      </c>
      <c r="D802" s="71">
        <v>7283000</v>
      </c>
      <c r="E802" s="9"/>
      <c r="F802" s="9"/>
      <c r="G802" s="62"/>
      <c r="H802" s="54">
        <v>7.25</v>
      </c>
      <c r="I802" s="94"/>
      <c r="J802" s="94"/>
      <c r="K802" s="34"/>
      <c r="L802" s="34"/>
      <c r="M802" s="8">
        <v>0</v>
      </c>
      <c r="N802" s="8">
        <f t="shared" si="220"/>
        <v>7283000</v>
      </c>
      <c r="O802" s="34"/>
      <c r="P802" s="34"/>
      <c r="Q802" s="34"/>
      <c r="R802" s="34"/>
      <c r="S802" s="34">
        <f t="shared" si="223"/>
        <v>7283000</v>
      </c>
      <c r="T802" s="4">
        <v>0</v>
      </c>
      <c r="U802" s="4">
        <v>0</v>
      </c>
      <c r="V802" s="34"/>
      <c r="W802" s="34"/>
      <c r="X802" s="34"/>
      <c r="Y802" s="34"/>
      <c r="Z802" s="34">
        <v>0</v>
      </c>
      <c r="AA802" s="8">
        <f t="shared" ref="AA802:AA803" si="237">AB802/365*84</f>
        <v>121516.35616438356</v>
      </c>
      <c r="AB802" s="8">
        <f t="shared" si="235"/>
        <v>528017.5</v>
      </c>
      <c r="AC802" s="4">
        <f t="shared" si="226"/>
        <v>528017.5</v>
      </c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</row>
    <row r="803" spans="1:61" s="37" customFormat="1" ht="27.6" customHeight="1" x14ac:dyDescent="0.2">
      <c r="A803" s="9">
        <v>790</v>
      </c>
      <c r="B803" s="58" t="s">
        <v>671</v>
      </c>
      <c r="C803" s="9" t="s">
        <v>394</v>
      </c>
      <c r="D803" s="71">
        <v>21402000</v>
      </c>
      <c r="E803" s="9"/>
      <c r="F803" s="9"/>
      <c r="G803" s="62"/>
      <c r="H803" s="54">
        <v>7.25</v>
      </c>
      <c r="I803" s="94"/>
      <c r="J803" s="94"/>
      <c r="K803" s="34"/>
      <c r="L803" s="34"/>
      <c r="M803" s="8">
        <v>0</v>
      </c>
      <c r="N803" s="8">
        <f t="shared" si="220"/>
        <v>21402000</v>
      </c>
      <c r="O803" s="34"/>
      <c r="P803" s="34"/>
      <c r="Q803" s="34"/>
      <c r="R803" s="34"/>
      <c r="S803" s="34">
        <f t="shared" si="223"/>
        <v>21402000</v>
      </c>
      <c r="T803" s="4">
        <v>0</v>
      </c>
      <c r="U803" s="4">
        <v>0</v>
      </c>
      <c r="V803" s="34"/>
      <c r="W803" s="34"/>
      <c r="X803" s="34"/>
      <c r="Y803" s="34"/>
      <c r="Z803" s="34">
        <v>0</v>
      </c>
      <c r="AA803" s="8">
        <f t="shared" si="237"/>
        <v>357090.904109589</v>
      </c>
      <c r="AB803" s="8">
        <f t="shared" si="235"/>
        <v>1551645</v>
      </c>
      <c r="AC803" s="4">
        <f t="shared" si="226"/>
        <v>1551645</v>
      </c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</row>
    <row r="804" spans="1:61" s="37" customFormat="1" ht="27.6" customHeight="1" x14ac:dyDescent="0.2">
      <c r="A804" s="9">
        <v>791</v>
      </c>
      <c r="B804" s="58" t="s">
        <v>624</v>
      </c>
      <c r="C804" s="9" t="s">
        <v>394</v>
      </c>
      <c r="D804" s="71">
        <v>15243000</v>
      </c>
      <c r="E804" s="9"/>
      <c r="F804" s="9"/>
      <c r="G804" s="62"/>
      <c r="H804" s="54">
        <v>7.25</v>
      </c>
      <c r="I804" s="94"/>
      <c r="J804" s="94"/>
      <c r="K804" s="34"/>
      <c r="L804" s="34"/>
      <c r="M804" s="8">
        <v>0</v>
      </c>
      <c r="N804" s="8">
        <f t="shared" si="220"/>
        <v>15243000</v>
      </c>
      <c r="O804" s="34"/>
      <c r="P804" s="34"/>
      <c r="Q804" s="34"/>
      <c r="R804" s="34"/>
      <c r="S804" s="34">
        <f t="shared" si="223"/>
        <v>15243000</v>
      </c>
      <c r="T804" s="4">
        <v>0</v>
      </c>
      <c r="U804" s="4">
        <v>0</v>
      </c>
      <c r="V804" s="34"/>
      <c r="W804" s="34"/>
      <c r="X804" s="34"/>
      <c r="Y804" s="34"/>
      <c r="Z804" s="34">
        <v>0</v>
      </c>
      <c r="AA804" s="8">
        <f>AB804/365*77</f>
        <v>233134.37671232875</v>
      </c>
      <c r="AB804" s="8">
        <f t="shared" si="235"/>
        <v>1105117.5</v>
      </c>
      <c r="AC804" s="4">
        <f t="shared" si="226"/>
        <v>1105117.5</v>
      </c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</row>
    <row r="805" spans="1:61" s="37" customFormat="1" ht="27.6" customHeight="1" x14ac:dyDescent="0.2">
      <c r="A805" s="9">
        <v>792</v>
      </c>
      <c r="B805" s="58" t="s">
        <v>624</v>
      </c>
      <c r="C805" s="9" t="s">
        <v>394</v>
      </c>
      <c r="D805" s="71">
        <v>74428000</v>
      </c>
      <c r="E805" s="9"/>
      <c r="F805" s="9"/>
      <c r="G805" s="62"/>
      <c r="H805" s="54">
        <v>7.25</v>
      </c>
      <c r="I805" s="94"/>
      <c r="J805" s="94"/>
      <c r="K805" s="34"/>
      <c r="L805" s="34"/>
      <c r="M805" s="8">
        <v>0</v>
      </c>
      <c r="N805" s="8">
        <f t="shared" si="220"/>
        <v>74428000</v>
      </c>
      <c r="O805" s="34"/>
      <c r="P805" s="34"/>
      <c r="Q805" s="34"/>
      <c r="R805" s="34"/>
      <c r="S805" s="34">
        <f t="shared" si="223"/>
        <v>74428000</v>
      </c>
      <c r="T805" s="4">
        <v>0</v>
      </c>
      <c r="U805" s="4">
        <v>0</v>
      </c>
      <c r="V805" s="34"/>
      <c r="W805" s="34"/>
      <c r="X805" s="34"/>
      <c r="Y805" s="34"/>
      <c r="Z805" s="34">
        <v>0</v>
      </c>
      <c r="AA805" s="8">
        <f t="shared" ref="AA805:AA807" si="238">AB805/365*77</f>
        <v>1138340.5753424657</v>
      </c>
      <c r="AB805" s="8">
        <f t="shared" si="235"/>
        <v>5396030</v>
      </c>
      <c r="AC805" s="4">
        <f t="shared" si="226"/>
        <v>5396030</v>
      </c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</row>
    <row r="806" spans="1:61" s="37" customFormat="1" ht="27.6" customHeight="1" x14ac:dyDescent="0.2">
      <c r="A806" s="9">
        <v>793</v>
      </c>
      <c r="B806" s="58" t="s">
        <v>624</v>
      </c>
      <c r="C806" s="9" t="s">
        <v>394</v>
      </c>
      <c r="D806" s="71">
        <v>3927000</v>
      </c>
      <c r="E806" s="9"/>
      <c r="F806" s="9"/>
      <c r="G806" s="62"/>
      <c r="H806" s="54">
        <v>7.25</v>
      </c>
      <c r="I806" s="94"/>
      <c r="J806" s="94"/>
      <c r="K806" s="34"/>
      <c r="L806" s="34"/>
      <c r="M806" s="8">
        <v>0</v>
      </c>
      <c r="N806" s="8">
        <f t="shared" si="220"/>
        <v>3927000</v>
      </c>
      <c r="O806" s="34"/>
      <c r="P806" s="34"/>
      <c r="Q806" s="34"/>
      <c r="R806" s="34"/>
      <c r="S806" s="34">
        <f t="shared" si="223"/>
        <v>3927000</v>
      </c>
      <c r="T806" s="4">
        <v>0</v>
      </c>
      <c r="U806" s="4">
        <v>0</v>
      </c>
      <c r="V806" s="34"/>
      <c r="W806" s="34"/>
      <c r="X806" s="34"/>
      <c r="Y806" s="34"/>
      <c r="Z806" s="34">
        <v>0</v>
      </c>
      <c r="AA806" s="8">
        <f t="shared" si="238"/>
        <v>60061.582191780828</v>
      </c>
      <c r="AB806" s="8">
        <f t="shared" si="235"/>
        <v>284707.5</v>
      </c>
      <c r="AC806" s="4">
        <f t="shared" si="226"/>
        <v>284707.5</v>
      </c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</row>
    <row r="807" spans="1:61" s="37" customFormat="1" ht="27.6" customHeight="1" x14ac:dyDescent="0.2">
      <c r="A807" s="9">
        <v>794</v>
      </c>
      <c r="B807" s="58" t="s">
        <v>624</v>
      </c>
      <c r="C807" s="9" t="s">
        <v>394</v>
      </c>
      <c r="D807" s="71">
        <v>1059000</v>
      </c>
      <c r="E807" s="9"/>
      <c r="F807" s="9"/>
      <c r="G807" s="62"/>
      <c r="H807" s="54">
        <v>7.25</v>
      </c>
      <c r="I807" s="94"/>
      <c r="J807" s="94"/>
      <c r="K807" s="34"/>
      <c r="L807" s="34"/>
      <c r="M807" s="8">
        <v>0</v>
      </c>
      <c r="N807" s="8">
        <f t="shared" si="220"/>
        <v>1059000</v>
      </c>
      <c r="O807" s="34"/>
      <c r="P807" s="34"/>
      <c r="Q807" s="34"/>
      <c r="R807" s="34"/>
      <c r="S807" s="34">
        <f t="shared" si="223"/>
        <v>1059000</v>
      </c>
      <c r="T807" s="4">
        <v>0</v>
      </c>
      <c r="U807" s="4">
        <v>0</v>
      </c>
      <c r="V807" s="34"/>
      <c r="W807" s="34"/>
      <c r="X807" s="34"/>
      <c r="Y807" s="34"/>
      <c r="Z807" s="34">
        <v>0</v>
      </c>
      <c r="AA807" s="8">
        <f t="shared" si="238"/>
        <v>16196.897260273972</v>
      </c>
      <c r="AB807" s="8">
        <f t="shared" si="235"/>
        <v>76777.5</v>
      </c>
      <c r="AC807" s="4">
        <f t="shared" si="226"/>
        <v>76777.5</v>
      </c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</row>
    <row r="808" spans="1:61" s="37" customFormat="1" ht="27.6" customHeight="1" x14ac:dyDescent="0.2">
      <c r="A808" s="9">
        <v>795</v>
      </c>
      <c r="B808" s="58" t="s">
        <v>672</v>
      </c>
      <c r="C808" s="9" t="s">
        <v>394</v>
      </c>
      <c r="D808" s="71">
        <v>19412000</v>
      </c>
      <c r="E808" s="9"/>
      <c r="F808" s="9"/>
      <c r="G808" s="62"/>
      <c r="H808" s="54">
        <v>7.25</v>
      </c>
      <c r="I808" s="94"/>
      <c r="J808" s="94"/>
      <c r="K808" s="34"/>
      <c r="L808" s="34"/>
      <c r="M808" s="8">
        <v>0</v>
      </c>
      <c r="N808" s="8">
        <f t="shared" si="220"/>
        <v>19412000</v>
      </c>
      <c r="O808" s="34"/>
      <c r="P808" s="34"/>
      <c r="Q808" s="34"/>
      <c r="R808" s="34"/>
      <c r="S808" s="34">
        <f t="shared" si="223"/>
        <v>19412000</v>
      </c>
      <c r="T808" s="4">
        <v>0</v>
      </c>
      <c r="U808" s="4">
        <v>0</v>
      </c>
      <c r="V808" s="34"/>
      <c r="W808" s="34"/>
      <c r="X808" s="34"/>
      <c r="Y808" s="34"/>
      <c r="Z808" s="34">
        <v>0</v>
      </c>
      <c r="AA808" s="8">
        <f>AB808/365*71</f>
        <v>273762.38356164383</v>
      </c>
      <c r="AB808" s="8">
        <f t="shared" si="235"/>
        <v>1407370</v>
      </c>
      <c r="AC808" s="4">
        <f t="shared" si="226"/>
        <v>1407370</v>
      </c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</row>
    <row r="809" spans="1:61" s="37" customFormat="1" ht="27.6" customHeight="1" x14ac:dyDescent="0.2">
      <c r="A809" s="9">
        <v>796</v>
      </c>
      <c r="B809" s="58" t="s">
        <v>672</v>
      </c>
      <c r="C809" s="9" t="s">
        <v>394</v>
      </c>
      <c r="D809" s="71">
        <v>14449000</v>
      </c>
      <c r="E809" s="9"/>
      <c r="F809" s="9"/>
      <c r="G809" s="62"/>
      <c r="H809" s="54">
        <v>7.25</v>
      </c>
      <c r="I809" s="94"/>
      <c r="J809" s="94"/>
      <c r="K809" s="34"/>
      <c r="L809" s="34"/>
      <c r="M809" s="8">
        <v>0</v>
      </c>
      <c r="N809" s="8">
        <f t="shared" si="220"/>
        <v>14449000</v>
      </c>
      <c r="O809" s="34"/>
      <c r="P809" s="34"/>
      <c r="Q809" s="34"/>
      <c r="R809" s="34"/>
      <c r="S809" s="34">
        <f t="shared" si="223"/>
        <v>14449000</v>
      </c>
      <c r="T809" s="4">
        <v>0</v>
      </c>
      <c r="U809" s="4">
        <v>0</v>
      </c>
      <c r="V809" s="34"/>
      <c r="W809" s="34"/>
      <c r="X809" s="34"/>
      <c r="Y809" s="34"/>
      <c r="Z809" s="34">
        <v>0</v>
      </c>
      <c r="AA809" s="8">
        <f t="shared" ref="AA809:AA811" si="239">AB809/365*71</f>
        <v>203770.48630136985</v>
      </c>
      <c r="AB809" s="8">
        <f t="shared" si="235"/>
        <v>1047552.5</v>
      </c>
      <c r="AC809" s="4">
        <f t="shared" si="226"/>
        <v>1047552.4999999999</v>
      </c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</row>
    <row r="810" spans="1:61" s="37" customFormat="1" ht="27.6" customHeight="1" x14ac:dyDescent="0.2">
      <c r="A810" s="9">
        <v>797</v>
      </c>
      <c r="B810" s="58" t="s">
        <v>672</v>
      </c>
      <c r="C810" s="9" t="s">
        <v>394</v>
      </c>
      <c r="D810" s="71">
        <v>9717000</v>
      </c>
      <c r="E810" s="9"/>
      <c r="F810" s="9"/>
      <c r="G810" s="62"/>
      <c r="H810" s="54">
        <v>7.25</v>
      </c>
      <c r="I810" s="94"/>
      <c r="J810" s="94"/>
      <c r="K810" s="34"/>
      <c r="L810" s="34"/>
      <c r="M810" s="8">
        <v>0</v>
      </c>
      <c r="N810" s="8">
        <f t="shared" si="220"/>
        <v>9717000</v>
      </c>
      <c r="O810" s="34"/>
      <c r="P810" s="34"/>
      <c r="Q810" s="34"/>
      <c r="R810" s="34"/>
      <c r="S810" s="34">
        <f t="shared" si="223"/>
        <v>9717000</v>
      </c>
      <c r="T810" s="4">
        <v>0</v>
      </c>
      <c r="U810" s="4">
        <v>0</v>
      </c>
      <c r="V810" s="34"/>
      <c r="W810" s="34"/>
      <c r="X810" s="34"/>
      <c r="Y810" s="34"/>
      <c r="Z810" s="34">
        <v>0</v>
      </c>
      <c r="AA810" s="8">
        <f t="shared" si="239"/>
        <v>137036.32191780824</v>
      </c>
      <c r="AB810" s="8">
        <f t="shared" si="235"/>
        <v>704482.5</v>
      </c>
      <c r="AC810" s="4">
        <f t="shared" si="226"/>
        <v>704482.5</v>
      </c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</row>
    <row r="811" spans="1:61" s="37" customFormat="1" ht="27.6" customHeight="1" x14ac:dyDescent="0.2">
      <c r="A811" s="9">
        <v>798</v>
      </c>
      <c r="B811" s="58" t="s">
        <v>672</v>
      </c>
      <c r="C811" s="9" t="s">
        <v>394</v>
      </c>
      <c r="D811" s="71">
        <v>16123000</v>
      </c>
      <c r="E811" s="9"/>
      <c r="F811" s="9"/>
      <c r="G811" s="62"/>
      <c r="H811" s="54">
        <v>7.25</v>
      </c>
      <c r="I811" s="94"/>
      <c r="J811" s="94"/>
      <c r="K811" s="34"/>
      <c r="L811" s="34"/>
      <c r="M811" s="8">
        <v>0</v>
      </c>
      <c r="N811" s="8">
        <f t="shared" si="220"/>
        <v>16123000</v>
      </c>
      <c r="O811" s="34"/>
      <c r="P811" s="34"/>
      <c r="Q811" s="34"/>
      <c r="R811" s="34"/>
      <c r="S811" s="34">
        <f t="shared" si="223"/>
        <v>16123000</v>
      </c>
      <c r="T811" s="4">
        <v>0</v>
      </c>
      <c r="U811" s="4">
        <v>0</v>
      </c>
      <c r="V811" s="34"/>
      <c r="W811" s="34"/>
      <c r="X811" s="34"/>
      <c r="Y811" s="34"/>
      <c r="Z811" s="34">
        <v>0</v>
      </c>
      <c r="AA811" s="8">
        <f t="shared" si="239"/>
        <v>227378.4726027397</v>
      </c>
      <c r="AB811" s="8">
        <f t="shared" si="235"/>
        <v>1168917.5</v>
      </c>
      <c r="AC811" s="4">
        <f t="shared" si="226"/>
        <v>1168917.5</v>
      </c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</row>
    <row r="812" spans="1:61" s="37" customFormat="1" ht="27.6" customHeight="1" x14ac:dyDescent="0.2">
      <c r="A812" s="9">
        <v>799</v>
      </c>
      <c r="B812" s="58" t="s">
        <v>746</v>
      </c>
      <c r="C812" s="9" t="s">
        <v>394</v>
      </c>
      <c r="D812" s="71">
        <v>19643000</v>
      </c>
      <c r="E812" s="9"/>
      <c r="F812" s="9"/>
      <c r="G812" s="62"/>
      <c r="H812" s="54">
        <v>7.5</v>
      </c>
      <c r="I812" s="94"/>
      <c r="J812" s="94"/>
      <c r="K812" s="34"/>
      <c r="L812" s="34"/>
      <c r="M812" s="8">
        <v>0</v>
      </c>
      <c r="N812" s="8">
        <f t="shared" si="220"/>
        <v>19643000</v>
      </c>
      <c r="O812" s="34"/>
      <c r="P812" s="34"/>
      <c r="Q812" s="34"/>
      <c r="R812" s="34"/>
      <c r="S812" s="34">
        <f t="shared" si="223"/>
        <v>19643000</v>
      </c>
      <c r="T812" s="4">
        <v>0</v>
      </c>
      <c r="U812" s="4">
        <v>0</v>
      </c>
      <c r="V812" s="34"/>
      <c r="W812" s="34"/>
      <c r="X812" s="34"/>
      <c r="Y812" s="34"/>
      <c r="Z812" s="34">
        <v>0</v>
      </c>
      <c r="AA812" s="8">
        <f>(N812*7.5%)/365*27</f>
        <v>108978.28767123287</v>
      </c>
      <c r="AB812" s="8">
        <f>N812*7.5/100</f>
        <v>1473225</v>
      </c>
      <c r="AC812" s="4">
        <f t="shared" si="226"/>
        <v>1473225</v>
      </c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</row>
    <row r="813" spans="1:61" s="37" customFormat="1" ht="27.6" customHeight="1" x14ac:dyDescent="0.2">
      <c r="A813" s="9">
        <v>800</v>
      </c>
      <c r="B813" s="58" t="s">
        <v>746</v>
      </c>
      <c r="C813" s="9" t="s">
        <v>394</v>
      </c>
      <c r="D813" s="71">
        <v>1008000</v>
      </c>
      <c r="E813" s="9"/>
      <c r="F813" s="9"/>
      <c r="G813" s="62"/>
      <c r="H813" s="54">
        <v>7.5</v>
      </c>
      <c r="I813" s="94"/>
      <c r="J813" s="94"/>
      <c r="K813" s="34"/>
      <c r="L813" s="34"/>
      <c r="M813" s="8">
        <v>0</v>
      </c>
      <c r="N813" s="8">
        <f t="shared" si="220"/>
        <v>1008000</v>
      </c>
      <c r="O813" s="34"/>
      <c r="P813" s="34"/>
      <c r="Q813" s="34"/>
      <c r="R813" s="34"/>
      <c r="S813" s="34">
        <f t="shared" si="223"/>
        <v>1008000</v>
      </c>
      <c r="T813" s="4">
        <v>0</v>
      </c>
      <c r="U813" s="4">
        <v>0</v>
      </c>
      <c r="V813" s="34"/>
      <c r="W813" s="34"/>
      <c r="X813" s="34"/>
      <c r="Y813" s="34"/>
      <c r="Z813" s="34">
        <v>0</v>
      </c>
      <c r="AA813" s="8">
        <f t="shared" ref="AA813:AA814" si="240">(N813*7.5%)/365*27</f>
        <v>5592.3287671232874</v>
      </c>
      <c r="AB813" s="8">
        <f t="shared" ref="AB813:AB826" si="241">N813*7.5/100</f>
        <v>75600</v>
      </c>
      <c r="AC813" s="4">
        <f t="shared" si="226"/>
        <v>75600</v>
      </c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</row>
    <row r="814" spans="1:61" s="37" customFormat="1" ht="27.6" customHeight="1" x14ac:dyDescent="0.2">
      <c r="A814" s="9">
        <v>801</v>
      </c>
      <c r="B814" s="58" t="s">
        <v>746</v>
      </c>
      <c r="C814" s="9" t="s">
        <v>394</v>
      </c>
      <c r="D814" s="71">
        <v>8833000</v>
      </c>
      <c r="E814" s="9"/>
      <c r="F814" s="9"/>
      <c r="G814" s="62"/>
      <c r="H814" s="54">
        <v>7.5</v>
      </c>
      <c r="I814" s="94"/>
      <c r="J814" s="94"/>
      <c r="K814" s="34"/>
      <c r="L814" s="34"/>
      <c r="M814" s="8">
        <v>0</v>
      </c>
      <c r="N814" s="8">
        <f t="shared" si="220"/>
        <v>8833000</v>
      </c>
      <c r="O814" s="34"/>
      <c r="P814" s="34"/>
      <c r="Q814" s="34"/>
      <c r="R814" s="34"/>
      <c r="S814" s="34">
        <f t="shared" si="223"/>
        <v>8833000</v>
      </c>
      <c r="T814" s="4">
        <v>0</v>
      </c>
      <c r="U814" s="4">
        <v>0</v>
      </c>
      <c r="V814" s="34"/>
      <c r="W814" s="34"/>
      <c r="X814" s="34"/>
      <c r="Y814" s="34"/>
      <c r="Z814" s="34">
        <v>0</v>
      </c>
      <c r="AA814" s="8">
        <f t="shared" si="240"/>
        <v>49005</v>
      </c>
      <c r="AB814" s="8">
        <f t="shared" si="241"/>
        <v>662475</v>
      </c>
      <c r="AC814" s="4">
        <f t="shared" si="226"/>
        <v>662475</v>
      </c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</row>
    <row r="815" spans="1:61" s="37" customFormat="1" ht="27.6" customHeight="1" x14ac:dyDescent="0.2">
      <c r="A815" s="9">
        <v>802</v>
      </c>
      <c r="B815" s="58" t="s">
        <v>747</v>
      </c>
      <c r="C815" s="9" t="s">
        <v>394</v>
      </c>
      <c r="D815" s="71">
        <v>4480000</v>
      </c>
      <c r="E815" s="9"/>
      <c r="F815" s="9"/>
      <c r="G815" s="62"/>
      <c r="H815" s="54">
        <v>7.5</v>
      </c>
      <c r="I815" s="94"/>
      <c r="J815" s="94"/>
      <c r="K815" s="34"/>
      <c r="L815" s="34"/>
      <c r="M815" s="8">
        <v>0</v>
      </c>
      <c r="N815" s="8">
        <f t="shared" si="220"/>
        <v>4480000</v>
      </c>
      <c r="O815" s="34"/>
      <c r="P815" s="34"/>
      <c r="Q815" s="34"/>
      <c r="R815" s="34"/>
      <c r="S815" s="34">
        <f t="shared" si="223"/>
        <v>4480000</v>
      </c>
      <c r="T815" s="4">
        <v>0</v>
      </c>
      <c r="U815" s="4">
        <v>0</v>
      </c>
      <c r="V815" s="34"/>
      <c r="W815" s="34"/>
      <c r="X815" s="34"/>
      <c r="Y815" s="34"/>
      <c r="Z815" s="34">
        <v>0</v>
      </c>
      <c r="AA815" s="8">
        <f>(N815*7.5%)/365*25</f>
        <v>23013.698630136987</v>
      </c>
      <c r="AB815" s="8">
        <f t="shared" si="241"/>
        <v>336000</v>
      </c>
      <c r="AC815" s="4">
        <f t="shared" si="226"/>
        <v>336000</v>
      </c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</row>
    <row r="816" spans="1:61" s="37" customFormat="1" ht="27.6" customHeight="1" x14ac:dyDescent="0.2">
      <c r="A816" s="9">
        <v>803</v>
      </c>
      <c r="B816" s="58" t="s">
        <v>753</v>
      </c>
      <c r="C816" s="9" t="s">
        <v>394</v>
      </c>
      <c r="D816" s="71">
        <v>19271000</v>
      </c>
      <c r="E816" s="9"/>
      <c r="F816" s="9"/>
      <c r="G816" s="62"/>
      <c r="H816" s="54">
        <v>7.5</v>
      </c>
      <c r="I816" s="94"/>
      <c r="J816" s="94"/>
      <c r="K816" s="34"/>
      <c r="L816" s="34"/>
      <c r="M816" s="8">
        <v>0</v>
      </c>
      <c r="N816" s="8">
        <f t="shared" si="220"/>
        <v>19271000</v>
      </c>
      <c r="O816" s="34"/>
      <c r="P816" s="34"/>
      <c r="Q816" s="34"/>
      <c r="R816" s="34"/>
      <c r="S816" s="34">
        <f t="shared" si="223"/>
        <v>19271000</v>
      </c>
      <c r="T816" s="4">
        <v>0</v>
      </c>
      <c r="U816" s="4">
        <v>0</v>
      </c>
      <c r="V816" s="34"/>
      <c r="W816" s="34"/>
      <c r="X816" s="34"/>
      <c r="Y816" s="34"/>
      <c r="Z816" s="34">
        <v>0</v>
      </c>
      <c r="AA816" s="8">
        <f>(N816*7.5%)/365*7</f>
        <v>27718.561643835616</v>
      </c>
      <c r="AB816" s="8">
        <f t="shared" si="241"/>
        <v>1445325</v>
      </c>
      <c r="AC816" s="4">
        <f t="shared" si="226"/>
        <v>1445325</v>
      </c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</row>
    <row r="817" spans="1:61" s="37" customFormat="1" ht="27.6" customHeight="1" x14ac:dyDescent="0.2">
      <c r="A817" s="9">
        <v>804</v>
      </c>
      <c r="B817" s="58" t="s">
        <v>753</v>
      </c>
      <c r="C817" s="9" t="s">
        <v>394</v>
      </c>
      <c r="D817" s="71">
        <v>6461000</v>
      </c>
      <c r="E817" s="9"/>
      <c r="F817" s="9"/>
      <c r="G817" s="62"/>
      <c r="H817" s="54">
        <v>7.5</v>
      </c>
      <c r="I817" s="94"/>
      <c r="J817" s="94"/>
      <c r="K817" s="34"/>
      <c r="L817" s="34"/>
      <c r="M817" s="8">
        <v>0</v>
      </c>
      <c r="N817" s="8">
        <f t="shared" si="220"/>
        <v>6461000</v>
      </c>
      <c r="O817" s="34"/>
      <c r="P817" s="34"/>
      <c r="Q817" s="34"/>
      <c r="R817" s="34"/>
      <c r="S817" s="34">
        <f t="shared" si="223"/>
        <v>6461000</v>
      </c>
      <c r="T817" s="4">
        <v>0</v>
      </c>
      <c r="U817" s="4">
        <v>0</v>
      </c>
      <c r="V817" s="34"/>
      <c r="W817" s="34"/>
      <c r="X817" s="34"/>
      <c r="Y817" s="34"/>
      <c r="Z817" s="34">
        <v>0</v>
      </c>
      <c r="AA817" s="8">
        <f t="shared" ref="AA817:AA828" si="242">(N817*7.5%)/365*7</f>
        <v>9293.2191780821922</v>
      </c>
      <c r="AB817" s="8">
        <f t="shared" si="241"/>
        <v>484575</v>
      </c>
      <c r="AC817" s="4">
        <f t="shared" si="226"/>
        <v>484575</v>
      </c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</row>
    <row r="818" spans="1:61" s="37" customFormat="1" ht="27.6" customHeight="1" x14ac:dyDescent="0.2">
      <c r="A818" s="9">
        <v>805</v>
      </c>
      <c r="B818" s="58" t="s">
        <v>753</v>
      </c>
      <c r="C818" s="9" t="s">
        <v>394</v>
      </c>
      <c r="D818" s="71">
        <v>110298000</v>
      </c>
      <c r="E818" s="9"/>
      <c r="F818" s="9"/>
      <c r="G818" s="62"/>
      <c r="H818" s="54">
        <v>7.5</v>
      </c>
      <c r="I818" s="94"/>
      <c r="J818" s="94"/>
      <c r="K818" s="34"/>
      <c r="L818" s="34"/>
      <c r="M818" s="8">
        <v>0</v>
      </c>
      <c r="N818" s="8">
        <f t="shared" si="220"/>
        <v>110298000</v>
      </c>
      <c r="O818" s="34"/>
      <c r="P818" s="34"/>
      <c r="Q818" s="34"/>
      <c r="R818" s="34"/>
      <c r="S818" s="34">
        <f t="shared" si="223"/>
        <v>110298000</v>
      </c>
      <c r="T818" s="4">
        <v>0</v>
      </c>
      <c r="U818" s="4">
        <v>0</v>
      </c>
      <c r="V818" s="34"/>
      <c r="W818" s="34"/>
      <c r="X818" s="34"/>
      <c r="Y818" s="34"/>
      <c r="Z818" s="34">
        <v>0</v>
      </c>
      <c r="AA818" s="8">
        <f t="shared" si="242"/>
        <v>158647.80821917808</v>
      </c>
      <c r="AB818" s="8">
        <f t="shared" si="241"/>
        <v>8272350</v>
      </c>
      <c r="AC818" s="4">
        <f t="shared" si="226"/>
        <v>8272350</v>
      </c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</row>
    <row r="819" spans="1:61" s="37" customFormat="1" ht="27.6" customHeight="1" x14ac:dyDescent="0.2">
      <c r="A819" s="9">
        <v>806</v>
      </c>
      <c r="B819" s="58" t="s">
        <v>754</v>
      </c>
      <c r="C819" s="9" t="s">
        <v>394</v>
      </c>
      <c r="D819" s="71">
        <v>10774000</v>
      </c>
      <c r="E819" s="9"/>
      <c r="F819" s="9"/>
      <c r="G819" s="62"/>
      <c r="H819" s="54">
        <v>7.5</v>
      </c>
      <c r="I819" s="94"/>
      <c r="J819" s="94"/>
      <c r="K819" s="34"/>
      <c r="L819" s="34"/>
      <c r="M819" s="8">
        <v>0</v>
      </c>
      <c r="N819" s="8">
        <f t="shared" si="220"/>
        <v>10774000</v>
      </c>
      <c r="O819" s="34"/>
      <c r="P819" s="34"/>
      <c r="Q819" s="34"/>
      <c r="R819" s="34"/>
      <c r="S819" s="34">
        <f t="shared" si="223"/>
        <v>10774000</v>
      </c>
      <c r="T819" s="4">
        <v>0</v>
      </c>
      <c r="U819" s="4">
        <v>0</v>
      </c>
      <c r="V819" s="34"/>
      <c r="W819" s="34"/>
      <c r="X819" s="34"/>
      <c r="Y819" s="34"/>
      <c r="Z819" s="34">
        <v>0</v>
      </c>
      <c r="AA819" s="8">
        <f>(N819*7.5%)/365*6</f>
        <v>13283.013698630137</v>
      </c>
      <c r="AB819" s="8">
        <f t="shared" si="241"/>
        <v>808050</v>
      </c>
      <c r="AC819" s="4">
        <f t="shared" si="226"/>
        <v>808050</v>
      </c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</row>
    <row r="820" spans="1:61" s="37" customFormat="1" ht="27.6" customHeight="1" x14ac:dyDescent="0.2">
      <c r="A820" s="9">
        <v>807</v>
      </c>
      <c r="B820" s="58" t="s">
        <v>754</v>
      </c>
      <c r="C820" s="9" t="s">
        <v>394</v>
      </c>
      <c r="D820" s="71">
        <v>9607000</v>
      </c>
      <c r="E820" s="9"/>
      <c r="F820" s="9"/>
      <c r="G820" s="62"/>
      <c r="H820" s="54">
        <v>7.5</v>
      </c>
      <c r="I820" s="94"/>
      <c r="J820" s="94"/>
      <c r="K820" s="34"/>
      <c r="L820" s="34"/>
      <c r="M820" s="8">
        <v>0</v>
      </c>
      <c r="N820" s="8">
        <f t="shared" si="220"/>
        <v>9607000</v>
      </c>
      <c r="O820" s="34"/>
      <c r="P820" s="34"/>
      <c r="Q820" s="34"/>
      <c r="R820" s="34"/>
      <c r="S820" s="34">
        <f t="shared" si="223"/>
        <v>9607000</v>
      </c>
      <c r="T820" s="4">
        <v>0</v>
      </c>
      <c r="U820" s="4">
        <v>0</v>
      </c>
      <c r="V820" s="34"/>
      <c r="W820" s="34"/>
      <c r="X820" s="34"/>
      <c r="Y820" s="34"/>
      <c r="Z820" s="34">
        <v>0</v>
      </c>
      <c r="AA820" s="8">
        <f>(N820*7.5%)/365*6</f>
        <v>11844.246575342466</v>
      </c>
      <c r="AB820" s="8">
        <f t="shared" si="241"/>
        <v>720525</v>
      </c>
      <c r="AC820" s="4">
        <f t="shared" si="226"/>
        <v>720525</v>
      </c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</row>
    <row r="821" spans="1:61" s="37" customFormat="1" ht="27.6" customHeight="1" x14ac:dyDescent="0.2">
      <c r="A821" s="9">
        <v>808</v>
      </c>
      <c r="B821" s="58" t="s">
        <v>755</v>
      </c>
      <c r="C821" s="9" t="s">
        <v>394</v>
      </c>
      <c r="D821" s="71">
        <v>2707000</v>
      </c>
      <c r="E821" s="9"/>
      <c r="F821" s="9"/>
      <c r="G821" s="62"/>
      <c r="H821" s="54">
        <v>7.5</v>
      </c>
      <c r="I821" s="94"/>
      <c r="J821" s="94"/>
      <c r="K821" s="34"/>
      <c r="L821" s="34"/>
      <c r="M821" s="8">
        <v>0</v>
      </c>
      <c r="N821" s="8">
        <f t="shared" si="220"/>
        <v>2707000</v>
      </c>
      <c r="O821" s="34"/>
      <c r="P821" s="34"/>
      <c r="Q821" s="34"/>
      <c r="R821" s="34"/>
      <c r="S821" s="34">
        <f t="shared" si="223"/>
        <v>2707000</v>
      </c>
      <c r="T821" s="4">
        <v>0</v>
      </c>
      <c r="U821" s="4">
        <v>0</v>
      </c>
      <c r="V821" s="34"/>
      <c r="W821" s="34"/>
      <c r="X821" s="34"/>
      <c r="Y821" s="34"/>
      <c r="Z821" s="34">
        <v>0</v>
      </c>
      <c r="AA821" s="8">
        <f>(N821*7.5%)/365*5</f>
        <v>2781.1643835616442</v>
      </c>
      <c r="AB821" s="8">
        <f t="shared" si="241"/>
        <v>203025</v>
      </c>
      <c r="AC821" s="4">
        <f t="shared" si="226"/>
        <v>203025</v>
      </c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</row>
    <row r="822" spans="1:61" s="37" customFormat="1" ht="27.6" customHeight="1" x14ac:dyDescent="0.2">
      <c r="A822" s="9">
        <v>809</v>
      </c>
      <c r="B822" s="58" t="s">
        <v>755</v>
      </c>
      <c r="C822" s="9" t="s">
        <v>394</v>
      </c>
      <c r="D822" s="71">
        <v>56427000</v>
      </c>
      <c r="E822" s="9"/>
      <c r="F822" s="9"/>
      <c r="G822" s="62"/>
      <c r="H822" s="54">
        <v>7.5</v>
      </c>
      <c r="I822" s="94"/>
      <c r="J822" s="94"/>
      <c r="K822" s="34"/>
      <c r="L822" s="34"/>
      <c r="M822" s="8">
        <v>0</v>
      </c>
      <c r="N822" s="8">
        <f t="shared" si="220"/>
        <v>56427000</v>
      </c>
      <c r="O822" s="34"/>
      <c r="P822" s="34"/>
      <c r="Q822" s="34"/>
      <c r="R822" s="34"/>
      <c r="S822" s="34">
        <f t="shared" si="223"/>
        <v>56427000</v>
      </c>
      <c r="T822" s="4">
        <v>0</v>
      </c>
      <c r="U822" s="4">
        <v>0</v>
      </c>
      <c r="V822" s="34"/>
      <c r="W822" s="34"/>
      <c r="X822" s="34"/>
      <c r="Y822" s="34"/>
      <c r="Z822" s="34">
        <v>0</v>
      </c>
      <c r="AA822" s="8">
        <f t="shared" ref="AA822:AA826" si="243">(N822*7.5%)/365*5</f>
        <v>57972.945205479453</v>
      </c>
      <c r="AB822" s="8">
        <f t="shared" si="241"/>
        <v>4232025</v>
      </c>
      <c r="AC822" s="4">
        <f t="shared" si="226"/>
        <v>4232025</v>
      </c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</row>
    <row r="823" spans="1:61" s="37" customFormat="1" ht="27.6" customHeight="1" x14ac:dyDescent="0.2">
      <c r="A823" s="9">
        <v>810</v>
      </c>
      <c r="B823" s="58" t="s">
        <v>755</v>
      </c>
      <c r="C823" s="9" t="s">
        <v>394</v>
      </c>
      <c r="D823" s="71">
        <v>16898000</v>
      </c>
      <c r="E823" s="9"/>
      <c r="F823" s="9"/>
      <c r="G823" s="62"/>
      <c r="H823" s="54">
        <v>7.5</v>
      </c>
      <c r="I823" s="94"/>
      <c r="J823" s="94"/>
      <c r="K823" s="34"/>
      <c r="L823" s="34"/>
      <c r="M823" s="8">
        <v>0</v>
      </c>
      <c r="N823" s="8">
        <f t="shared" si="220"/>
        <v>16898000</v>
      </c>
      <c r="O823" s="34"/>
      <c r="P823" s="34"/>
      <c r="Q823" s="34"/>
      <c r="R823" s="34"/>
      <c r="S823" s="34">
        <f t="shared" ref="S823:S826" si="244">N823-U823</f>
        <v>16898000</v>
      </c>
      <c r="T823" s="4">
        <v>0</v>
      </c>
      <c r="U823" s="4">
        <v>0</v>
      </c>
      <c r="V823" s="34"/>
      <c r="W823" s="34"/>
      <c r="X823" s="34"/>
      <c r="Y823" s="34"/>
      <c r="Z823" s="34">
        <v>0</v>
      </c>
      <c r="AA823" s="8">
        <f t="shared" si="243"/>
        <v>17360.95890410959</v>
      </c>
      <c r="AB823" s="8">
        <f t="shared" si="241"/>
        <v>1267350</v>
      </c>
      <c r="AC823" s="4">
        <f t="shared" si="226"/>
        <v>1267350</v>
      </c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</row>
    <row r="824" spans="1:61" s="37" customFormat="1" ht="27.6" customHeight="1" x14ac:dyDescent="0.2">
      <c r="A824" s="9">
        <v>811</v>
      </c>
      <c r="B824" s="58" t="s">
        <v>755</v>
      </c>
      <c r="C824" s="9" t="s">
        <v>394</v>
      </c>
      <c r="D824" s="71">
        <v>2435000</v>
      </c>
      <c r="E824" s="9"/>
      <c r="F824" s="9"/>
      <c r="G824" s="62"/>
      <c r="H824" s="54">
        <v>7.5</v>
      </c>
      <c r="I824" s="94"/>
      <c r="J824" s="94"/>
      <c r="K824" s="34"/>
      <c r="L824" s="34"/>
      <c r="M824" s="8">
        <v>0</v>
      </c>
      <c r="N824" s="8">
        <f t="shared" si="220"/>
        <v>2435000</v>
      </c>
      <c r="O824" s="34"/>
      <c r="P824" s="34"/>
      <c r="Q824" s="34"/>
      <c r="R824" s="34"/>
      <c r="S824" s="34">
        <f t="shared" si="244"/>
        <v>2435000</v>
      </c>
      <c r="T824" s="4">
        <v>0</v>
      </c>
      <c r="U824" s="4">
        <v>0</v>
      </c>
      <c r="V824" s="34"/>
      <c r="W824" s="34"/>
      <c r="X824" s="34"/>
      <c r="Y824" s="34"/>
      <c r="Z824" s="34">
        <v>0</v>
      </c>
      <c r="AA824" s="8">
        <f t="shared" si="243"/>
        <v>2501.7123287671234</v>
      </c>
      <c r="AB824" s="8">
        <f t="shared" si="241"/>
        <v>182625</v>
      </c>
      <c r="AC824" s="4">
        <f t="shared" si="226"/>
        <v>182625</v>
      </c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</row>
    <row r="825" spans="1:61" s="37" customFormat="1" ht="27.6" customHeight="1" x14ac:dyDescent="0.2">
      <c r="A825" s="9">
        <v>812</v>
      </c>
      <c r="B825" s="58" t="s">
        <v>755</v>
      </c>
      <c r="C825" s="9" t="s">
        <v>394</v>
      </c>
      <c r="D825" s="71">
        <v>2876000</v>
      </c>
      <c r="E825" s="9"/>
      <c r="F825" s="9"/>
      <c r="G825" s="62"/>
      <c r="H825" s="54">
        <v>7.5</v>
      </c>
      <c r="I825" s="94"/>
      <c r="J825" s="94"/>
      <c r="K825" s="34"/>
      <c r="L825" s="34"/>
      <c r="M825" s="8">
        <v>0</v>
      </c>
      <c r="N825" s="8">
        <f t="shared" si="220"/>
        <v>2876000</v>
      </c>
      <c r="O825" s="34"/>
      <c r="P825" s="34"/>
      <c r="Q825" s="34"/>
      <c r="R825" s="34"/>
      <c r="S825" s="34">
        <f t="shared" si="244"/>
        <v>2876000</v>
      </c>
      <c r="T825" s="4">
        <v>0</v>
      </c>
      <c r="U825" s="4">
        <v>0</v>
      </c>
      <c r="V825" s="34"/>
      <c r="W825" s="34"/>
      <c r="X825" s="34"/>
      <c r="Y825" s="34"/>
      <c r="Z825" s="34">
        <v>0</v>
      </c>
      <c r="AA825" s="8">
        <f t="shared" si="243"/>
        <v>2954.7945205479455</v>
      </c>
      <c r="AB825" s="8">
        <f t="shared" si="241"/>
        <v>215700</v>
      </c>
      <c r="AC825" s="4">
        <f t="shared" si="226"/>
        <v>215700</v>
      </c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</row>
    <row r="826" spans="1:61" s="37" customFormat="1" ht="27.6" customHeight="1" x14ac:dyDescent="0.2">
      <c r="A826" s="9">
        <v>813</v>
      </c>
      <c r="B826" s="58" t="s">
        <v>755</v>
      </c>
      <c r="C826" s="9" t="s">
        <v>394</v>
      </c>
      <c r="D826" s="71">
        <v>16478000</v>
      </c>
      <c r="E826" s="9"/>
      <c r="F826" s="9"/>
      <c r="G826" s="62"/>
      <c r="H826" s="54">
        <v>7.5</v>
      </c>
      <c r="I826" s="94"/>
      <c r="J826" s="94"/>
      <c r="K826" s="34"/>
      <c r="L826" s="34"/>
      <c r="M826" s="8">
        <v>0</v>
      </c>
      <c r="N826" s="8">
        <f t="shared" si="220"/>
        <v>16478000</v>
      </c>
      <c r="O826" s="34"/>
      <c r="P826" s="34"/>
      <c r="Q826" s="34"/>
      <c r="R826" s="34"/>
      <c r="S826" s="34">
        <f t="shared" si="244"/>
        <v>16478000</v>
      </c>
      <c r="T826" s="4">
        <v>0</v>
      </c>
      <c r="U826" s="4">
        <v>0</v>
      </c>
      <c r="V826" s="34"/>
      <c r="W826" s="34"/>
      <c r="X826" s="34"/>
      <c r="Y826" s="34"/>
      <c r="Z826" s="34">
        <v>0</v>
      </c>
      <c r="AA826" s="8">
        <f t="shared" si="243"/>
        <v>16929.452054794521</v>
      </c>
      <c r="AB826" s="8">
        <f t="shared" si="241"/>
        <v>1235850</v>
      </c>
      <c r="AC826" s="4">
        <f t="shared" si="226"/>
        <v>1235850</v>
      </c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</row>
    <row r="827" spans="1:61" s="37" customFormat="1" ht="27.6" customHeight="1" x14ac:dyDescent="0.2">
      <c r="A827" s="9">
        <v>814</v>
      </c>
      <c r="B827" s="58" t="s">
        <v>757</v>
      </c>
      <c r="C827" s="9" t="s">
        <v>394</v>
      </c>
      <c r="D827" s="71">
        <v>15405000</v>
      </c>
      <c r="E827" s="9"/>
      <c r="F827" s="9"/>
      <c r="G827" s="62"/>
      <c r="H827" s="54">
        <v>7.5</v>
      </c>
      <c r="I827" s="94"/>
      <c r="J827" s="94"/>
      <c r="K827" s="34"/>
      <c r="L827" s="34"/>
      <c r="M827" s="8">
        <v>0</v>
      </c>
      <c r="N827" s="8">
        <v>0</v>
      </c>
      <c r="O827" s="34"/>
      <c r="P827" s="34"/>
      <c r="Q827" s="34"/>
      <c r="R827" s="34"/>
      <c r="S827" s="34">
        <f>D827</f>
        <v>15405000</v>
      </c>
      <c r="T827" s="4">
        <v>0</v>
      </c>
      <c r="U827" s="4">
        <v>0</v>
      </c>
      <c r="V827" s="34"/>
      <c r="W827" s="34"/>
      <c r="X827" s="34"/>
      <c r="Y827" s="34"/>
      <c r="Z827" s="34">
        <v>0</v>
      </c>
      <c r="AA827" s="8">
        <f t="shared" si="242"/>
        <v>0</v>
      </c>
      <c r="AB827" s="8">
        <f>(S827*7.5%)/365*273</f>
        <v>864157.19178082189</v>
      </c>
      <c r="AC827" s="4">
        <f t="shared" si="226"/>
        <v>1155375</v>
      </c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</row>
    <row r="828" spans="1:61" s="37" customFormat="1" ht="27.6" customHeight="1" x14ac:dyDescent="0.2">
      <c r="A828" s="9">
        <v>815</v>
      </c>
      <c r="B828" s="58" t="s">
        <v>757</v>
      </c>
      <c r="C828" s="9" t="s">
        <v>394</v>
      </c>
      <c r="D828" s="71">
        <v>10342000</v>
      </c>
      <c r="E828" s="9"/>
      <c r="F828" s="9"/>
      <c r="G828" s="62"/>
      <c r="H828" s="54">
        <v>7.5</v>
      </c>
      <c r="I828" s="94"/>
      <c r="J828" s="94"/>
      <c r="K828" s="34"/>
      <c r="L828" s="34"/>
      <c r="M828" s="8">
        <v>0</v>
      </c>
      <c r="N828" s="8">
        <v>0</v>
      </c>
      <c r="O828" s="34"/>
      <c r="P828" s="34"/>
      <c r="Q828" s="34"/>
      <c r="R828" s="34"/>
      <c r="S828" s="34">
        <f t="shared" ref="S828:S854" si="245">D828</f>
        <v>10342000</v>
      </c>
      <c r="T828" s="4">
        <v>0</v>
      </c>
      <c r="U828" s="4">
        <v>0</v>
      </c>
      <c r="V828" s="34"/>
      <c r="W828" s="34"/>
      <c r="X828" s="34"/>
      <c r="Y828" s="34"/>
      <c r="Z828" s="34">
        <v>0</v>
      </c>
      <c r="AA828" s="8">
        <f t="shared" si="242"/>
        <v>0</v>
      </c>
      <c r="AB828" s="8">
        <f t="shared" ref="AB828:AB830" si="246">(S828*7.5%)/365*273</f>
        <v>580143.69863013702</v>
      </c>
      <c r="AC828" s="4">
        <f t="shared" si="226"/>
        <v>775650</v>
      </c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</row>
    <row r="829" spans="1:61" s="37" customFormat="1" ht="27.6" customHeight="1" x14ac:dyDescent="0.2">
      <c r="A829" s="9">
        <v>816</v>
      </c>
      <c r="B829" s="58" t="s">
        <v>757</v>
      </c>
      <c r="C829" s="9" t="s">
        <v>394</v>
      </c>
      <c r="D829" s="71">
        <v>50792000</v>
      </c>
      <c r="E829" s="9"/>
      <c r="F829" s="9"/>
      <c r="G829" s="62"/>
      <c r="H829" s="54">
        <v>7.5</v>
      </c>
      <c r="I829" s="94"/>
      <c r="J829" s="94"/>
      <c r="K829" s="34"/>
      <c r="L829" s="34"/>
      <c r="M829" s="8">
        <v>0</v>
      </c>
      <c r="N829" s="8">
        <v>0</v>
      </c>
      <c r="O829" s="34"/>
      <c r="P829" s="34"/>
      <c r="Q829" s="34"/>
      <c r="R829" s="34"/>
      <c r="S829" s="34">
        <f t="shared" si="245"/>
        <v>50792000</v>
      </c>
      <c r="T829" s="4">
        <v>0</v>
      </c>
      <c r="U829" s="4">
        <v>0</v>
      </c>
      <c r="V829" s="34"/>
      <c r="W829" s="34"/>
      <c r="X829" s="34"/>
      <c r="Y829" s="34"/>
      <c r="Z829" s="34">
        <v>0</v>
      </c>
      <c r="AA829" s="8">
        <f t="shared" ref="AA829:AA830" si="247">(N829*7.5%)/365*7</f>
        <v>0</v>
      </c>
      <c r="AB829" s="8">
        <f t="shared" si="246"/>
        <v>2849222.4657534249</v>
      </c>
      <c r="AC829" s="4">
        <f t="shared" ref="AC829:AC854" si="248">S829*H829%</f>
        <v>3809400</v>
      </c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</row>
    <row r="830" spans="1:61" s="37" customFormat="1" ht="27.6" customHeight="1" x14ac:dyDescent="0.2">
      <c r="A830" s="9">
        <v>817</v>
      </c>
      <c r="B830" s="58" t="s">
        <v>757</v>
      </c>
      <c r="C830" s="9" t="s">
        <v>394</v>
      </c>
      <c r="D830" s="71">
        <v>85885000</v>
      </c>
      <c r="E830" s="9"/>
      <c r="F830" s="9"/>
      <c r="G830" s="62"/>
      <c r="H830" s="54">
        <v>7.5</v>
      </c>
      <c r="I830" s="94"/>
      <c r="J830" s="94"/>
      <c r="K830" s="34"/>
      <c r="L830" s="34"/>
      <c r="M830" s="8">
        <v>0</v>
      </c>
      <c r="N830" s="8">
        <v>0</v>
      </c>
      <c r="O830" s="34"/>
      <c r="P830" s="34"/>
      <c r="Q830" s="34"/>
      <c r="R830" s="34"/>
      <c r="S830" s="34">
        <f t="shared" si="245"/>
        <v>85885000</v>
      </c>
      <c r="T830" s="4">
        <v>0</v>
      </c>
      <c r="U830" s="4">
        <v>0</v>
      </c>
      <c r="V830" s="34"/>
      <c r="W830" s="34"/>
      <c r="X830" s="34"/>
      <c r="Y830" s="34"/>
      <c r="Z830" s="34">
        <v>0</v>
      </c>
      <c r="AA830" s="8">
        <f t="shared" si="247"/>
        <v>0</v>
      </c>
      <c r="AB830" s="8">
        <f t="shared" si="246"/>
        <v>4817795.5479452051</v>
      </c>
      <c r="AC830" s="4">
        <f t="shared" si="248"/>
        <v>6441375</v>
      </c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</row>
    <row r="831" spans="1:61" s="37" customFormat="1" ht="27.6" customHeight="1" x14ac:dyDescent="0.2">
      <c r="A831" s="9">
        <v>818</v>
      </c>
      <c r="B831" s="58" t="s">
        <v>758</v>
      </c>
      <c r="C831" s="9" t="s">
        <v>394</v>
      </c>
      <c r="D831" s="71">
        <v>1601000</v>
      </c>
      <c r="E831" s="9"/>
      <c r="F831" s="9"/>
      <c r="G831" s="62"/>
      <c r="H831" s="54">
        <v>7.5</v>
      </c>
      <c r="I831" s="94"/>
      <c r="J831" s="94"/>
      <c r="K831" s="34"/>
      <c r="L831" s="34"/>
      <c r="M831" s="8">
        <v>0</v>
      </c>
      <c r="N831" s="8">
        <v>0</v>
      </c>
      <c r="O831" s="34"/>
      <c r="P831" s="34"/>
      <c r="Q831" s="34"/>
      <c r="R831" s="34"/>
      <c r="S831" s="34">
        <f t="shared" si="245"/>
        <v>1601000</v>
      </c>
      <c r="T831" s="4">
        <v>0</v>
      </c>
      <c r="U831" s="4">
        <v>0</v>
      </c>
      <c r="V831" s="34"/>
      <c r="W831" s="34"/>
      <c r="X831" s="34"/>
      <c r="Y831" s="34"/>
      <c r="Z831" s="34">
        <v>0</v>
      </c>
      <c r="AA831" s="8">
        <f t="shared" ref="AA831:AA832" si="249">(N831*7.5%)/365*7</f>
        <v>0</v>
      </c>
      <c r="AB831" s="8">
        <f>(S831*7.5%)/365*272</f>
        <v>89480.547945205486</v>
      </c>
      <c r="AC831" s="4">
        <f t="shared" si="248"/>
        <v>120075</v>
      </c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</row>
    <row r="832" spans="1:61" s="37" customFormat="1" ht="27.6" customHeight="1" x14ac:dyDescent="0.2">
      <c r="A832" s="9">
        <v>819</v>
      </c>
      <c r="B832" s="58" t="s">
        <v>758</v>
      </c>
      <c r="C832" s="9" t="s">
        <v>394</v>
      </c>
      <c r="D832" s="71">
        <v>8656000</v>
      </c>
      <c r="E832" s="9"/>
      <c r="F832" s="9"/>
      <c r="G832" s="62"/>
      <c r="H832" s="54">
        <v>7.5</v>
      </c>
      <c r="I832" s="94"/>
      <c r="J832" s="94"/>
      <c r="K832" s="34"/>
      <c r="L832" s="34"/>
      <c r="M832" s="8">
        <v>0</v>
      </c>
      <c r="N832" s="8">
        <v>0</v>
      </c>
      <c r="O832" s="34"/>
      <c r="P832" s="34"/>
      <c r="Q832" s="34"/>
      <c r="R832" s="34"/>
      <c r="S832" s="34">
        <f t="shared" si="245"/>
        <v>8656000</v>
      </c>
      <c r="T832" s="4">
        <v>0</v>
      </c>
      <c r="U832" s="4">
        <v>0</v>
      </c>
      <c r="V832" s="34"/>
      <c r="W832" s="34"/>
      <c r="X832" s="34"/>
      <c r="Y832" s="34"/>
      <c r="Z832" s="34">
        <v>0</v>
      </c>
      <c r="AA832" s="8">
        <f t="shared" si="249"/>
        <v>0</v>
      </c>
      <c r="AB832" s="8">
        <f t="shared" ref="AB832" si="250">(S832*7.5%)/365*272</f>
        <v>483787.39726027392</v>
      </c>
      <c r="AC832" s="4">
        <f t="shared" si="248"/>
        <v>649200</v>
      </c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</row>
    <row r="833" spans="1:61" s="37" customFormat="1" ht="27.6" customHeight="1" x14ac:dyDescent="0.2">
      <c r="A833" s="9">
        <v>820</v>
      </c>
      <c r="B833" s="58" t="s">
        <v>760</v>
      </c>
      <c r="C833" s="9" t="s">
        <v>394</v>
      </c>
      <c r="D833" s="71">
        <v>2803000</v>
      </c>
      <c r="E833" s="9"/>
      <c r="F833" s="9"/>
      <c r="G833" s="62"/>
      <c r="H833" s="54">
        <v>7.5</v>
      </c>
      <c r="I833" s="94"/>
      <c r="J833" s="94"/>
      <c r="K833" s="34"/>
      <c r="L833" s="34"/>
      <c r="M833" s="8">
        <v>0</v>
      </c>
      <c r="N833" s="8">
        <v>0</v>
      </c>
      <c r="O833" s="34"/>
      <c r="P833" s="34"/>
      <c r="Q833" s="34"/>
      <c r="R833" s="34"/>
      <c r="S833" s="34">
        <f t="shared" si="245"/>
        <v>2803000</v>
      </c>
      <c r="T833" s="4">
        <v>0</v>
      </c>
      <c r="U833" s="4">
        <v>0</v>
      </c>
      <c r="V833" s="34"/>
      <c r="W833" s="34"/>
      <c r="X833" s="34"/>
      <c r="Y833" s="34"/>
      <c r="Z833" s="34">
        <v>0</v>
      </c>
      <c r="AA833" s="8">
        <f t="shared" ref="AA833:AA835" si="251">(N833*7.5%)/365*7</f>
        <v>0</v>
      </c>
      <c r="AB833" s="8">
        <f>(S833*7.5%)/365*259</f>
        <v>149173.35616438356</v>
      </c>
      <c r="AC833" s="4">
        <f t="shared" si="248"/>
        <v>210225</v>
      </c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</row>
    <row r="834" spans="1:61" s="37" customFormat="1" ht="27.6" customHeight="1" x14ac:dyDescent="0.2">
      <c r="A834" s="9">
        <v>821</v>
      </c>
      <c r="B834" s="58" t="s">
        <v>760</v>
      </c>
      <c r="C834" s="9" t="s">
        <v>394</v>
      </c>
      <c r="D834" s="71">
        <v>3338000</v>
      </c>
      <c r="E834" s="9"/>
      <c r="F834" s="9"/>
      <c r="G834" s="62"/>
      <c r="H834" s="54">
        <v>7.5</v>
      </c>
      <c r="I834" s="94"/>
      <c r="J834" s="94"/>
      <c r="K834" s="34"/>
      <c r="L834" s="34"/>
      <c r="M834" s="8">
        <v>0</v>
      </c>
      <c r="N834" s="8">
        <v>0</v>
      </c>
      <c r="O834" s="34"/>
      <c r="P834" s="34"/>
      <c r="Q834" s="34"/>
      <c r="R834" s="34"/>
      <c r="S834" s="34">
        <f t="shared" si="245"/>
        <v>3338000</v>
      </c>
      <c r="T834" s="4">
        <v>0</v>
      </c>
      <c r="U834" s="4">
        <v>0</v>
      </c>
      <c r="V834" s="34"/>
      <c r="W834" s="34"/>
      <c r="X834" s="34"/>
      <c r="Y834" s="34"/>
      <c r="Z834" s="34">
        <v>0</v>
      </c>
      <c r="AA834" s="8">
        <f t="shared" si="251"/>
        <v>0</v>
      </c>
      <c r="AB834" s="8">
        <f t="shared" ref="AB834:AB835" si="252">(S834*7.5%)/365*259</f>
        <v>177645.61643835617</v>
      </c>
      <c r="AC834" s="4">
        <f t="shared" si="248"/>
        <v>250350</v>
      </c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</row>
    <row r="835" spans="1:61" s="37" customFormat="1" ht="27.6" customHeight="1" x14ac:dyDescent="0.2">
      <c r="A835" s="9">
        <v>822</v>
      </c>
      <c r="B835" s="58" t="s">
        <v>760</v>
      </c>
      <c r="C835" s="9" t="s">
        <v>394</v>
      </c>
      <c r="D835" s="71">
        <v>4281000</v>
      </c>
      <c r="E835" s="9"/>
      <c r="F835" s="9"/>
      <c r="G835" s="62"/>
      <c r="H835" s="54">
        <v>7.5</v>
      </c>
      <c r="I835" s="94"/>
      <c r="J835" s="94"/>
      <c r="K835" s="34"/>
      <c r="L835" s="34"/>
      <c r="M835" s="8">
        <v>0</v>
      </c>
      <c r="N835" s="8">
        <v>0</v>
      </c>
      <c r="O835" s="34"/>
      <c r="P835" s="34"/>
      <c r="Q835" s="34"/>
      <c r="R835" s="34"/>
      <c r="S835" s="34">
        <f t="shared" si="245"/>
        <v>4281000</v>
      </c>
      <c r="T835" s="4">
        <v>0</v>
      </c>
      <c r="U835" s="4">
        <v>0</v>
      </c>
      <c r="V835" s="34"/>
      <c r="W835" s="34"/>
      <c r="X835" s="34"/>
      <c r="Y835" s="34"/>
      <c r="Z835" s="34">
        <v>0</v>
      </c>
      <c r="AA835" s="8">
        <f t="shared" si="251"/>
        <v>0</v>
      </c>
      <c r="AB835" s="8">
        <f t="shared" si="252"/>
        <v>227831.30136986301</v>
      </c>
      <c r="AC835" s="4">
        <f t="shared" si="248"/>
        <v>321075</v>
      </c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</row>
    <row r="836" spans="1:61" s="37" customFormat="1" ht="27.6" customHeight="1" x14ac:dyDescent="0.2">
      <c r="A836" s="9">
        <v>823</v>
      </c>
      <c r="B836" s="58" t="s">
        <v>761</v>
      </c>
      <c r="C836" s="9" t="s">
        <v>394</v>
      </c>
      <c r="D836" s="71">
        <v>39737000</v>
      </c>
      <c r="E836" s="9"/>
      <c r="F836" s="9"/>
      <c r="G836" s="62"/>
      <c r="H836" s="54">
        <v>7.5</v>
      </c>
      <c r="I836" s="94"/>
      <c r="J836" s="94"/>
      <c r="K836" s="34"/>
      <c r="L836" s="34"/>
      <c r="M836" s="8">
        <v>0</v>
      </c>
      <c r="N836" s="8">
        <v>0</v>
      </c>
      <c r="O836" s="34"/>
      <c r="P836" s="34"/>
      <c r="Q836" s="34"/>
      <c r="R836" s="34"/>
      <c r="S836" s="34">
        <f t="shared" si="245"/>
        <v>39737000</v>
      </c>
      <c r="T836" s="4">
        <v>0</v>
      </c>
      <c r="U836" s="4">
        <v>0</v>
      </c>
      <c r="V836" s="34"/>
      <c r="W836" s="34"/>
      <c r="X836" s="34"/>
      <c r="Y836" s="34"/>
      <c r="Z836" s="34">
        <v>0</v>
      </c>
      <c r="AA836" s="8">
        <f t="shared" ref="AA836:AA837" si="253">(N836*7.5%)/365*7</f>
        <v>0</v>
      </c>
      <c r="AB836" s="8">
        <f>(S836*7.5%)/365*254</f>
        <v>2073944.7945205478</v>
      </c>
      <c r="AC836" s="4">
        <f t="shared" si="248"/>
        <v>2980275</v>
      </c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</row>
    <row r="837" spans="1:61" s="37" customFormat="1" ht="27.6" customHeight="1" x14ac:dyDescent="0.2">
      <c r="A837" s="9">
        <v>824</v>
      </c>
      <c r="B837" s="58" t="s">
        <v>761</v>
      </c>
      <c r="C837" s="9" t="s">
        <v>394</v>
      </c>
      <c r="D837" s="71">
        <v>23548000</v>
      </c>
      <c r="E837" s="9"/>
      <c r="F837" s="9"/>
      <c r="G837" s="62"/>
      <c r="H837" s="54">
        <v>7.5</v>
      </c>
      <c r="I837" s="94"/>
      <c r="J837" s="94"/>
      <c r="K837" s="34"/>
      <c r="L837" s="34"/>
      <c r="M837" s="8">
        <v>0</v>
      </c>
      <c r="N837" s="8">
        <v>0</v>
      </c>
      <c r="O837" s="34"/>
      <c r="P837" s="34"/>
      <c r="Q837" s="34"/>
      <c r="R837" s="34"/>
      <c r="S837" s="34">
        <f t="shared" si="245"/>
        <v>23548000</v>
      </c>
      <c r="T837" s="4">
        <v>0</v>
      </c>
      <c r="U837" s="4">
        <v>0</v>
      </c>
      <c r="V837" s="34"/>
      <c r="W837" s="34"/>
      <c r="X837" s="34"/>
      <c r="Y837" s="34"/>
      <c r="Z837" s="34">
        <v>0</v>
      </c>
      <c r="AA837" s="8">
        <f t="shared" si="253"/>
        <v>0</v>
      </c>
      <c r="AB837" s="8">
        <f>(S837*7.5%)/365*254</f>
        <v>1229012.0547945206</v>
      </c>
      <c r="AC837" s="4">
        <f t="shared" si="248"/>
        <v>1766100</v>
      </c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</row>
    <row r="838" spans="1:61" s="37" customFormat="1" ht="27.6" customHeight="1" x14ac:dyDescent="0.2">
      <c r="A838" s="9">
        <v>825</v>
      </c>
      <c r="B838" s="58" t="s">
        <v>762</v>
      </c>
      <c r="C838" s="9" t="s">
        <v>394</v>
      </c>
      <c r="D838" s="71">
        <v>4842000</v>
      </c>
      <c r="E838" s="9"/>
      <c r="F838" s="9"/>
      <c r="G838" s="62"/>
      <c r="H838" s="54">
        <v>7.5</v>
      </c>
      <c r="I838" s="94"/>
      <c r="J838" s="94"/>
      <c r="K838" s="34"/>
      <c r="L838" s="34"/>
      <c r="M838" s="8">
        <v>0</v>
      </c>
      <c r="N838" s="8">
        <v>0</v>
      </c>
      <c r="O838" s="34"/>
      <c r="P838" s="34"/>
      <c r="Q838" s="34"/>
      <c r="R838" s="34"/>
      <c r="S838" s="34">
        <f t="shared" si="245"/>
        <v>4842000</v>
      </c>
      <c r="T838" s="4">
        <v>0</v>
      </c>
      <c r="U838" s="4">
        <v>0</v>
      </c>
      <c r="V838" s="34"/>
      <c r="W838" s="34"/>
      <c r="X838" s="34"/>
      <c r="Y838" s="34"/>
      <c r="Z838" s="34">
        <v>0</v>
      </c>
      <c r="AA838" s="8">
        <f t="shared" ref="AA838" si="254">(N838*7.5%)/365*7</f>
        <v>0</v>
      </c>
      <c r="AB838" s="8">
        <f>(S838*7.5%)/365*253</f>
        <v>251717.67123287672</v>
      </c>
      <c r="AC838" s="4">
        <f t="shared" si="248"/>
        <v>363150</v>
      </c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</row>
    <row r="839" spans="1:61" s="37" customFormat="1" ht="27.6" customHeight="1" x14ac:dyDescent="0.2">
      <c r="A839" s="9">
        <v>826</v>
      </c>
      <c r="B839" s="58" t="s">
        <v>764</v>
      </c>
      <c r="C839" s="9" t="s">
        <v>394</v>
      </c>
      <c r="D839" s="71">
        <v>62001000</v>
      </c>
      <c r="E839" s="9"/>
      <c r="F839" s="9"/>
      <c r="G839" s="62"/>
      <c r="H839" s="54">
        <v>7.5</v>
      </c>
      <c r="I839" s="94"/>
      <c r="J839" s="94"/>
      <c r="K839" s="34"/>
      <c r="L839" s="34"/>
      <c r="M839" s="8">
        <v>0</v>
      </c>
      <c r="N839" s="8">
        <v>0</v>
      </c>
      <c r="O839" s="34"/>
      <c r="P839" s="34"/>
      <c r="Q839" s="34"/>
      <c r="R839" s="34"/>
      <c r="S839" s="34">
        <f t="shared" si="245"/>
        <v>62001000</v>
      </c>
      <c r="T839" s="4">
        <v>0</v>
      </c>
      <c r="U839" s="4">
        <v>0</v>
      </c>
      <c r="V839" s="34"/>
      <c r="W839" s="34"/>
      <c r="X839" s="34"/>
      <c r="Y839" s="34"/>
      <c r="Z839" s="34">
        <v>0</v>
      </c>
      <c r="AA839" s="8">
        <f t="shared" ref="AA839:AA840" si="255">(N839*7.5%)/365*7</f>
        <v>0</v>
      </c>
      <c r="AB839" s="8">
        <f>(S839*7.5%)/365*218</f>
        <v>2777305.0684931506</v>
      </c>
      <c r="AC839" s="4">
        <f t="shared" si="248"/>
        <v>4650075</v>
      </c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</row>
    <row r="840" spans="1:61" s="37" customFormat="1" ht="27.6" customHeight="1" x14ac:dyDescent="0.2">
      <c r="A840" s="9">
        <v>827</v>
      </c>
      <c r="B840" s="58" t="s">
        <v>764</v>
      </c>
      <c r="C840" s="9" t="s">
        <v>394</v>
      </c>
      <c r="D840" s="71">
        <v>6790000</v>
      </c>
      <c r="E840" s="9"/>
      <c r="F840" s="9"/>
      <c r="G840" s="62"/>
      <c r="H840" s="54">
        <v>7.5</v>
      </c>
      <c r="I840" s="94"/>
      <c r="J840" s="94"/>
      <c r="K840" s="34"/>
      <c r="L840" s="34"/>
      <c r="M840" s="8">
        <v>0</v>
      </c>
      <c r="N840" s="8">
        <v>0</v>
      </c>
      <c r="O840" s="34"/>
      <c r="P840" s="34"/>
      <c r="Q840" s="34"/>
      <c r="R840" s="34"/>
      <c r="S840" s="34">
        <f t="shared" si="245"/>
        <v>6790000</v>
      </c>
      <c r="T840" s="4">
        <v>0</v>
      </c>
      <c r="U840" s="4">
        <v>0</v>
      </c>
      <c r="V840" s="34"/>
      <c r="W840" s="34"/>
      <c r="X840" s="34"/>
      <c r="Y840" s="34"/>
      <c r="Z840" s="34">
        <v>0</v>
      </c>
      <c r="AA840" s="8">
        <f t="shared" si="255"/>
        <v>0</v>
      </c>
      <c r="AB840" s="8">
        <f>(S840*7.5%)/365*218</f>
        <v>304154.79452054796</v>
      </c>
      <c r="AC840" s="4">
        <f t="shared" si="248"/>
        <v>509250</v>
      </c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</row>
    <row r="841" spans="1:61" s="37" customFormat="1" ht="27.6" customHeight="1" x14ac:dyDescent="0.2">
      <c r="A841" s="9">
        <v>828</v>
      </c>
      <c r="B841" s="58" t="s">
        <v>765</v>
      </c>
      <c r="C841" s="9" t="s">
        <v>394</v>
      </c>
      <c r="D841" s="71">
        <v>3510000</v>
      </c>
      <c r="E841" s="9"/>
      <c r="F841" s="9"/>
      <c r="G841" s="62"/>
      <c r="H841" s="54">
        <v>7.5</v>
      </c>
      <c r="I841" s="94"/>
      <c r="J841" s="94"/>
      <c r="K841" s="34"/>
      <c r="L841" s="34"/>
      <c r="M841" s="8">
        <v>0</v>
      </c>
      <c r="N841" s="8">
        <v>0</v>
      </c>
      <c r="O841" s="34"/>
      <c r="P841" s="34"/>
      <c r="Q841" s="34"/>
      <c r="R841" s="34"/>
      <c r="S841" s="34">
        <f t="shared" si="245"/>
        <v>3510000</v>
      </c>
      <c r="T841" s="4">
        <v>0</v>
      </c>
      <c r="U841" s="4">
        <v>0</v>
      </c>
      <c r="V841" s="34"/>
      <c r="W841" s="34"/>
      <c r="X841" s="34"/>
      <c r="Y841" s="34"/>
      <c r="Z841" s="34">
        <v>0</v>
      </c>
      <c r="AA841" s="8">
        <f t="shared" ref="AA841:AA842" si="256">(N841*7.5%)/365*7</f>
        <v>0</v>
      </c>
      <c r="AB841" s="8">
        <f>(S841*7.5%)/365*217</f>
        <v>156507.53424657535</v>
      </c>
      <c r="AC841" s="4">
        <f t="shared" si="248"/>
        <v>263250</v>
      </c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</row>
    <row r="842" spans="1:61" s="37" customFormat="1" ht="27.6" customHeight="1" x14ac:dyDescent="0.2">
      <c r="A842" s="9">
        <v>829</v>
      </c>
      <c r="B842" s="58" t="s">
        <v>765</v>
      </c>
      <c r="C842" s="9" t="s">
        <v>394</v>
      </c>
      <c r="D842" s="71">
        <v>1024000</v>
      </c>
      <c r="E842" s="9"/>
      <c r="F842" s="9"/>
      <c r="G842" s="62"/>
      <c r="H842" s="54">
        <v>7.5</v>
      </c>
      <c r="I842" s="94"/>
      <c r="J842" s="94"/>
      <c r="K842" s="34"/>
      <c r="L842" s="34"/>
      <c r="M842" s="8">
        <v>0</v>
      </c>
      <c r="N842" s="8">
        <v>0</v>
      </c>
      <c r="O842" s="34"/>
      <c r="P842" s="34"/>
      <c r="Q842" s="34"/>
      <c r="R842" s="34"/>
      <c r="S842" s="34">
        <f t="shared" si="245"/>
        <v>1024000</v>
      </c>
      <c r="T842" s="4">
        <v>0</v>
      </c>
      <c r="U842" s="4">
        <v>0</v>
      </c>
      <c r="V842" s="34"/>
      <c r="W842" s="34"/>
      <c r="X842" s="34"/>
      <c r="Y842" s="34"/>
      <c r="Z842" s="34">
        <v>0</v>
      </c>
      <c r="AA842" s="8">
        <f t="shared" si="256"/>
        <v>0</v>
      </c>
      <c r="AB842" s="8">
        <f>(S842*7.5%)/365*217</f>
        <v>45659.178082191778</v>
      </c>
      <c r="AC842" s="4">
        <f t="shared" si="248"/>
        <v>76800</v>
      </c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</row>
    <row r="843" spans="1:61" s="37" customFormat="1" ht="27.6" customHeight="1" x14ac:dyDescent="0.2">
      <c r="A843" s="9">
        <v>830</v>
      </c>
      <c r="B843" s="58" t="s">
        <v>766</v>
      </c>
      <c r="C843" s="9" t="s">
        <v>394</v>
      </c>
      <c r="D843" s="71">
        <v>7588000</v>
      </c>
      <c r="E843" s="9"/>
      <c r="F843" s="9"/>
      <c r="G843" s="62"/>
      <c r="H843" s="54">
        <v>7.5</v>
      </c>
      <c r="I843" s="94"/>
      <c r="J843" s="94"/>
      <c r="K843" s="34"/>
      <c r="L843" s="34"/>
      <c r="M843" s="8">
        <v>0</v>
      </c>
      <c r="N843" s="8">
        <v>0</v>
      </c>
      <c r="O843" s="34"/>
      <c r="P843" s="34"/>
      <c r="Q843" s="34"/>
      <c r="R843" s="34"/>
      <c r="S843" s="34">
        <f t="shared" si="245"/>
        <v>7588000</v>
      </c>
      <c r="T843" s="4">
        <v>0</v>
      </c>
      <c r="U843" s="4">
        <v>0</v>
      </c>
      <c r="V843" s="34"/>
      <c r="W843" s="34"/>
      <c r="X843" s="34"/>
      <c r="Y843" s="34"/>
      <c r="Z843" s="34">
        <v>0</v>
      </c>
      <c r="AA843" s="8">
        <f t="shared" ref="AA843" si="257">(N843*7.5%)/365*7</f>
        <v>0</v>
      </c>
      <c r="AB843" s="8">
        <f>(S843*7.5%)/365*216</f>
        <v>336782.46575342462</v>
      </c>
      <c r="AC843" s="4">
        <f t="shared" si="248"/>
        <v>569100</v>
      </c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</row>
    <row r="844" spans="1:61" s="37" customFormat="1" ht="27.6" customHeight="1" x14ac:dyDescent="0.2">
      <c r="A844" s="9">
        <v>831</v>
      </c>
      <c r="B844" s="58" t="s">
        <v>767</v>
      </c>
      <c r="C844" s="9" t="s">
        <v>394</v>
      </c>
      <c r="D844" s="71">
        <v>119512000</v>
      </c>
      <c r="E844" s="9"/>
      <c r="F844" s="9"/>
      <c r="G844" s="62"/>
      <c r="H844" s="54">
        <v>7.5</v>
      </c>
      <c r="I844" s="94"/>
      <c r="J844" s="94"/>
      <c r="K844" s="34"/>
      <c r="L844" s="34"/>
      <c r="M844" s="8">
        <v>0</v>
      </c>
      <c r="N844" s="8">
        <v>0</v>
      </c>
      <c r="O844" s="34"/>
      <c r="P844" s="34"/>
      <c r="Q844" s="34"/>
      <c r="R844" s="34"/>
      <c r="S844" s="34">
        <f t="shared" si="245"/>
        <v>119512000</v>
      </c>
      <c r="T844" s="4">
        <v>0</v>
      </c>
      <c r="U844" s="4">
        <v>0</v>
      </c>
      <c r="V844" s="34"/>
      <c r="W844" s="34"/>
      <c r="X844" s="34"/>
      <c r="Y844" s="34"/>
      <c r="Z844" s="34">
        <v>0</v>
      </c>
      <c r="AA844" s="8">
        <f t="shared" ref="AA844" si="258">(N844*7.5%)/365*7</f>
        <v>0</v>
      </c>
      <c r="AB844" s="8">
        <f>(S844*7.5%)/365*203</f>
        <v>4985123.8356164386</v>
      </c>
      <c r="AC844" s="4">
        <f t="shared" si="248"/>
        <v>8963400</v>
      </c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</row>
    <row r="845" spans="1:61" s="37" customFormat="1" ht="27.6" customHeight="1" x14ac:dyDescent="0.2">
      <c r="A845" s="9">
        <v>832</v>
      </c>
      <c r="B845" s="58" t="s">
        <v>769</v>
      </c>
      <c r="C845" s="9" t="s">
        <v>394</v>
      </c>
      <c r="D845" s="71">
        <v>1934000</v>
      </c>
      <c r="E845" s="9"/>
      <c r="F845" s="9"/>
      <c r="G845" s="62"/>
      <c r="H845" s="54">
        <v>7.5</v>
      </c>
      <c r="I845" s="94"/>
      <c r="J845" s="94"/>
      <c r="K845" s="34"/>
      <c r="L845" s="34"/>
      <c r="M845" s="8">
        <v>0</v>
      </c>
      <c r="N845" s="8">
        <v>0</v>
      </c>
      <c r="O845" s="34"/>
      <c r="P845" s="34"/>
      <c r="Q845" s="34"/>
      <c r="R845" s="34"/>
      <c r="S845" s="34">
        <f t="shared" si="245"/>
        <v>1934000</v>
      </c>
      <c r="T845" s="4">
        <v>0</v>
      </c>
      <c r="U845" s="4">
        <v>0</v>
      </c>
      <c r="V845" s="34"/>
      <c r="W845" s="34"/>
      <c r="X845" s="34"/>
      <c r="Y845" s="34"/>
      <c r="Z845" s="34">
        <v>0</v>
      </c>
      <c r="AA845" s="8">
        <f t="shared" ref="AA845" si="259">(N845*7.5%)/365*7</f>
        <v>0</v>
      </c>
      <c r="AB845" s="8">
        <f>(S845*7.5%)/365*196</f>
        <v>77889.863013698632</v>
      </c>
      <c r="AC845" s="4">
        <f t="shared" si="248"/>
        <v>145050</v>
      </c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</row>
    <row r="846" spans="1:61" s="37" customFormat="1" ht="27.6" customHeight="1" x14ac:dyDescent="0.2">
      <c r="A846" s="9">
        <v>833</v>
      </c>
      <c r="B846" s="58" t="s">
        <v>770</v>
      </c>
      <c r="C846" s="9" t="s">
        <v>394</v>
      </c>
      <c r="D846" s="71">
        <v>9051000</v>
      </c>
      <c r="E846" s="9"/>
      <c r="F846" s="9"/>
      <c r="G846" s="62"/>
      <c r="H846" s="54">
        <v>7.5</v>
      </c>
      <c r="I846" s="94"/>
      <c r="J846" s="94"/>
      <c r="K846" s="34"/>
      <c r="L846" s="34"/>
      <c r="M846" s="8">
        <v>0</v>
      </c>
      <c r="N846" s="8">
        <v>0</v>
      </c>
      <c r="O846" s="34"/>
      <c r="P846" s="34"/>
      <c r="Q846" s="34"/>
      <c r="R846" s="34"/>
      <c r="S846" s="34">
        <f t="shared" si="245"/>
        <v>9051000</v>
      </c>
      <c r="T846" s="4">
        <v>0</v>
      </c>
      <c r="U846" s="4">
        <v>0</v>
      </c>
      <c r="V846" s="34"/>
      <c r="W846" s="34"/>
      <c r="X846" s="34"/>
      <c r="Y846" s="34"/>
      <c r="Z846" s="34">
        <v>0</v>
      </c>
      <c r="AA846" s="8">
        <f t="shared" ref="AA846" si="260">(N846*7.5%)/365*7</f>
        <v>0</v>
      </c>
      <c r="AB846" s="8">
        <f>(S846*7.5%)/365*195</f>
        <v>362659.9315068493</v>
      </c>
      <c r="AC846" s="4">
        <f t="shared" si="248"/>
        <v>678825</v>
      </c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</row>
    <row r="847" spans="1:61" s="37" customFormat="1" ht="27.6" customHeight="1" x14ac:dyDescent="0.2">
      <c r="A847" s="9">
        <v>834</v>
      </c>
      <c r="B847" s="58" t="s">
        <v>774</v>
      </c>
      <c r="C847" s="9" t="s">
        <v>394</v>
      </c>
      <c r="D847" s="71">
        <v>44521000</v>
      </c>
      <c r="E847" s="9"/>
      <c r="F847" s="9"/>
      <c r="G847" s="62"/>
      <c r="H847" s="54">
        <v>7.5</v>
      </c>
      <c r="I847" s="94"/>
      <c r="J847" s="94"/>
      <c r="K847" s="34"/>
      <c r="L847" s="34"/>
      <c r="M847" s="8">
        <v>0</v>
      </c>
      <c r="N847" s="8">
        <v>0</v>
      </c>
      <c r="O847" s="34"/>
      <c r="P847" s="34"/>
      <c r="Q847" s="34"/>
      <c r="R847" s="34"/>
      <c r="S847" s="34">
        <f t="shared" si="245"/>
        <v>44521000</v>
      </c>
      <c r="T847" s="4">
        <v>0</v>
      </c>
      <c r="U847" s="4">
        <v>0</v>
      </c>
      <c r="V847" s="34"/>
      <c r="W847" s="34"/>
      <c r="X847" s="34"/>
      <c r="Y847" s="34"/>
      <c r="Z847" s="34">
        <v>0</v>
      </c>
      <c r="AA847" s="8">
        <f t="shared" ref="AA847" si="261">(N847*7.5%)/365*7</f>
        <v>0</v>
      </c>
      <c r="AB847" s="8">
        <f>(S847*7.5%)/365*162</f>
        <v>1482000.4109589041</v>
      </c>
      <c r="AC847" s="4">
        <f t="shared" si="248"/>
        <v>3339075</v>
      </c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</row>
    <row r="848" spans="1:61" s="37" customFormat="1" ht="27.6" customHeight="1" x14ac:dyDescent="0.2">
      <c r="A848" s="9">
        <v>835</v>
      </c>
      <c r="B848" s="58" t="s">
        <v>775</v>
      </c>
      <c r="C848" s="9" t="s">
        <v>394</v>
      </c>
      <c r="D848" s="71">
        <v>3697000</v>
      </c>
      <c r="E848" s="9"/>
      <c r="F848" s="9"/>
      <c r="G848" s="62"/>
      <c r="H848" s="54">
        <v>7.5</v>
      </c>
      <c r="I848" s="94"/>
      <c r="J848" s="94"/>
      <c r="K848" s="34"/>
      <c r="L848" s="34"/>
      <c r="M848" s="8">
        <v>0</v>
      </c>
      <c r="N848" s="8">
        <v>0</v>
      </c>
      <c r="O848" s="34"/>
      <c r="P848" s="34"/>
      <c r="Q848" s="34"/>
      <c r="R848" s="34"/>
      <c r="S848" s="34">
        <f t="shared" si="245"/>
        <v>3697000</v>
      </c>
      <c r="T848" s="4">
        <v>0</v>
      </c>
      <c r="U848" s="4">
        <v>0</v>
      </c>
      <c r="V848" s="34"/>
      <c r="W848" s="34"/>
      <c r="X848" s="34"/>
      <c r="Y848" s="34"/>
      <c r="Z848" s="34">
        <v>0</v>
      </c>
      <c r="AA848" s="8">
        <f t="shared" ref="AA848" si="262">(N848*7.5%)/365*7</f>
        <v>0</v>
      </c>
      <c r="AB848" s="8">
        <f>(S848*7.5%)/365*161</f>
        <v>122304.86301369863</v>
      </c>
      <c r="AC848" s="4">
        <f t="shared" si="248"/>
        <v>277275</v>
      </c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</row>
    <row r="849" spans="1:61" s="37" customFormat="1" ht="27.6" customHeight="1" x14ac:dyDescent="0.2">
      <c r="A849" s="9">
        <v>836</v>
      </c>
      <c r="B849" s="58" t="s">
        <v>777</v>
      </c>
      <c r="C849" s="9" t="s">
        <v>394</v>
      </c>
      <c r="D849" s="71">
        <v>99067000</v>
      </c>
      <c r="E849" s="9"/>
      <c r="F849" s="9"/>
      <c r="G849" s="62"/>
      <c r="H849" s="54">
        <v>7.5</v>
      </c>
      <c r="I849" s="94"/>
      <c r="J849" s="94"/>
      <c r="K849" s="34"/>
      <c r="L849" s="34"/>
      <c r="M849" s="8">
        <v>0</v>
      </c>
      <c r="N849" s="8">
        <v>0</v>
      </c>
      <c r="O849" s="34"/>
      <c r="P849" s="34"/>
      <c r="Q849" s="34"/>
      <c r="R849" s="34"/>
      <c r="S849" s="34">
        <f t="shared" si="245"/>
        <v>99067000</v>
      </c>
      <c r="T849" s="4">
        <v>0</v>
      </c>
      <c r="U849" s="4">
        <v>0</v>
      </c>
      <c r="V849" s="34"/>
      <c r="W849" s="34"/>
      <c r="X849" s="34"/>
      <c r="Y849" s="34"/>
      <c r="Z849" s="34">
        <v>0</v>
      </c>
      <c r="AA849" s="8">
        <f t="shared" ref="AA849:AA850" si="263">(N849*7.5%)/365*7</f>
        <v>0</v>
      </c>
      <c r="AB849" s="8">
        <f>(S849*7.5%)/365*142</f>
        <v>2890585.0684931506</v>
      </c>
      <c r="AC849" s="4">
        <f t="shared" si="248"/>
        <v>7430025</v>
      </c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</row>
    <row r="850" spans="1:61" s="37" customFormat="1" ht="27.6" customHeight="1" x14ac:dyDescent="0.2">
      <c r="A850" s="9">
        <v>837</v>
      </c>
      <c r="B850" s="58" t="s">
        <v>777</v>
      </c>
      <c r="C850" s="9" t="s">
        <v>394</v>
      </c>
      <c r="D850" s="71">
        <v>2091000</v>
      </c>
      <c r="E850" s="9"/>
      <c r="F850" s="9"/>
      <c r="G850" s="62"/>
      <c r="H850" s="54">
        <v>7.5</v>
      </c>
      <c r="I850" s="94"/>
      <c r="J850" s="94"/>
      <c r="K850" s="34"/>
      <c r="L850" s="34"/>
      <c r="M850" s="8">
        <v>0</v>
      </c>
      <c r="N850" s="8">
        <v>0</v>
      </c>
      <c r="O850" s="34"/>
      <c r="P850" s="34"/>
      <c r="Q850" s="34"/>
      <c r="R850" s="34"/>
      <c r="S850" s="34">
        <f t="shared" si="245"/>
        <v>2091000</v>
      </c>
      <c r="T850" s="4">
        <v>0</v>
      </c>
      <c r="U850" s="4">
        <v>0</v>
      </c>
      <c r="V850" s="34"/>
      <c r="W850" s="34"/>
      <c r="X850" s="34"/>
      <c r="Y850" s="34"/>
      <c r="Z850" s="34">
        <v>0</v>
      </c>
      <c r="AA850" s="8">
        <f t="shared" si="263"/>
        <v>0</v>
      </c>
      <c r="AB850" s="8">
        <f>(S850*7.5%)/365*142</f>
        <v>61011.369863013693</v>
      </c>
      <c r="AC850" s="4">
        <f t="shared" si="248"/>
        <v>156825</v>
      </c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</row>
    <row r="851" spans="1:61" s="37" customFormat="1" ht="27.6" customHeight="1" x14ac:dyDescent="0.2">
      <c r="A851" s="9">
        <v>838</v>
      </c>
      <c r="B851" s="58" t="s">
        <v>781</v>
      </c>
      <c r="C851" s="9" t="s">
        <v>394</v>
      </c>
      <c r="D851" s="71">
        <v>33170000</v>
      </c>
      <c r="E851" s="9"/>
      <c r="F851" s="9"/>
      <c r="G851" s="62"/>
      <c r="H851" s="54">
        <v>7.5</v>
      </c>
      <c r="I851" s="94"/>
      <c r="J851" s="94"/>
      <c r="K851" s="34"/>
      <c r="L851" s="34"/>
      <c r="M851" s="8">
        <v>0</v>
      </c>
      <c r="N851" s="8">
        <v>0</v>
      </c>
      <c r="O851" s="34"/>
      <c r="P851" s="34"/>
      <c r="Q851" s="34"/>
      <c r="R851" s="34"/>
      <c r="S851" s="34">
        <f t="shared" si="245"/>
        <v>33170000</v>
      </c>
      <c r="T851" s="4">
        <v>0</v>
      </c>
      <c r="U851" s="4">
        <v>0</v>
      </c>
      <c r="V851" s="34"/>
      <c r="W851" s="34"/>
      <c r="X851" s="34"/>
      <c r="Y851" s="34"/>
      <c r="Z851" s="34">
        <v>0</v>
      </c>
      <c r="AA851" s="8">
        <f t="shared" ref="AA851" si="264">(N851*7.5%)/365*7</f>
        <v>0</v>
      </c>
      <c r="AB851" s="8">
        <f>(S851*7.5%)/365*125</f>
        <v>851969.17808219173</v>
      </c>
      <c r="AC851" s="4">
        <f t="shared" si="248"/>
        <v>2487750</v>
      </c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</row>
    <row r="852" spans="1:61" s="37" customFormat="1" ht="27.6" customHeight="1" x14ac:dyDescent="0.2">
      <c r="A852" s="9">
        <v>839</v>
      </c>
      <c r="B852" s="58" t="s">
        <v>785</v>
      </c>
      <c r="C852" s="9" t="s">
        <v>394</v>
      </c>
      <c r="D852" s="71">
        <v>3069000</v>
      </c>
      <c r="E852" s="9"/>
      <c r="F852" s="9"/>
      <c r="G852" s="62"/>
      <c r="H852" s="54">
        <v>7.5</v>
      </c>
      <c r="I852" s="94"/>
      <c r="J852" s="94"/>
      <c r="K852" s="34"/>
      <c r="L852" s="34"/>
      <c r="M852" s="8">
        <v>0</v>
      </c>
      <c r="N852" s="8">
        <v>0</v>
      </c>
      <c r="O852" s="34"/>
      <c r="P852" s="34"/>
      <c r="Q852" s="34"/>
      <c r="R852" s="34"/>
      <c r="S852" s="34">
        <f t="shared" si="245"/>
        <v>3069000</v>
      </c>
      <c r="T852" s="4">
        <v>0</v>
      </c>
      <c r="U852" s="4">
        <v>0</v>
      </c>
      <c r="V852" s="34"/>
      <c r="W852" s="34"/>
      <c r="X852" s="34"/>
      <c r="Y852" s="34"/>
      <c r="Z852" s="34">
        <v>0</v>
      </c>
      <c r="AA852" s="8">
        <f t="shared" ref="AA852" si="265">(N852*7.5%)/365*7</f>
        <v>0</v>
      </c>
      <c r="AB852" s="8">
        <f>(S852*7.5%)/365*113</f>
        <v>71259.65753424658</v>
      </c>
      <c r="AC852" s="4">
        <f t="shared" si="248"/>
        <v>230175</v>
      </c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</row>
    <row r="853" spans="1:61" s="37" customFormat="1" ht="27.6" customHeight="1" x14ac:dyDescent="0.2">
      <c r="A853" s="9">
        <v>840</v>
      </c>
      <c r="B853" s="58" t="s">
        <v>787</v>
      </c>
      <c r="C853" s="9" t="s">
        <v>394</v>
      </c>
      <c r="D853" s="71">
        <v>4612000</v>
      </c>
      <c r="E853" s="9"/>
      <c r="F853" s="9"/>
      <c r="G853" s="62"/>
      <c r="H853" s="54">
        <v>7.5</v>
      </c>
      <c r="I853" s="94"/>
      <c r="J853" s="94"/>
      <c r="K853" s="34"/>
      <c r="L853" s="34"/>
      <c r="M853" s="8">
        <v>0</v>
      </c>
      <c r="N853" s="8">
        <v>0</v>
      </c>
      <c r="O853" s="34"/>
      <c r="P853" s="34"/>
      <c r="Q853" s="34"/>
      <c r="R853" s="34"/>
      <c r="S853" s="34">
        <f t="shared" si="245"/>
        <v>4612000</v>
      </c>
      <c r="T853" s="4">
        <v>0</v>
      </c>
      <c r="U853" s="4">
        <v>0</v>
      </c>
      <c r="V853" s="34"/>
      <c r="W853" s="34"/>
      <c r="X853" s="34"/>
      <c r="Y853" s="34"/>
      <c r="Z853" s="34">
        <v>0</v>
      </c>
      <c r="AA853" s="8">
        <f t="shared" ref="AA853:AA854" si="266">(N853*7.5%)/365*7</f>
        <v>0</v>
      </c>
      <c r="AB853" s="8">
        <f>(S853*7.5%)/365*91</f>
        <v>86238.082191780821</v>
      </c>
      <c r="AC853" s="4">
        <f t="shared" si="248"/>
        <v>345900</v>
      </c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</row>
    <row r="854" spans="1:61" s="37" customFormat="1" ht="27.6" customHeight="1" x14ac:dyDescent="0.2">
      <c r="A854" s="9">
        <v>841</v>
      </c>
      <c r="B854" s="58" t="s">
        <v>787</v>
      </c>
      <c r="C854" s="9" t="s">
        <v>394</v>
      </c>
      <c r="D854" s="71">
        <v>19269000</v>
      </c>
      <c r="E854" s="9"/>
      <c r="F854" s="9"/>
      <c r="G854" s="62"/>
      <c r="H854" s="54">
        <v>7.5</v>
      </c>
      <c r="I854" s="94"/>
      <c r="J854" s="94"/>
      <c r="K854" s="34"/>
      <c r="L854" s="34"/>
      <c r="M854" s="8">
        <v>0</v>
      </c>
      <c r="N854" s="8">
        <v>0</v>
      </c>
      <c r="O854" s="34"/>
      <c r="P854" s="34"/>
      <c r="Q854" s="34"/>
      <c r="R854" s="34"/>
      <c r="S854" s="34">
        <f t="shared" si="245"/>
        <v>19269000</v>
      </c>
      <c r="T854" s="4">
        <v>0</v>
      </c>
      <c r="U854" s="4">
        <v>0</v>
      </c>
      <c r="V854" s="34"/>
      <c r="W854" s="34"/>
      <c r="X854" s="34"/>
      <c r="Y854" s="34"/>
      <c r="Z854" s="34">
        <v>0</v>
      </c>
      <c r="AA854" s="8">
        <f t="shared" si="266"/>
        <v>0</v>
      </c>
      <c r="AB854" s="8">
        <f>(S854*7.5%)/365*91</f>
        <v>360303.90410958906</v>
      </c>
      <c r="AC854" s="4">
        <f t="shared" si="248"/>
        <v>1445175</v>
      </c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</row>
    <row r="855" spans="1:61" s="107" customFormat="1" ht="27.6" customHeight="1" x14ac:dyDescent="0.2">
      <c r="A855" s="114"/>
      <c r="B855" s="110"/>
      <c r="C855" s="105" t="s">
        <v>123</v>
      </c>
      <c r="D855" s="109">
        <f>SUM(D637:D854)</f>
        <v>7228572000</v>
      </c>
      <c r="E855" s="103"/>
      <c r="F855" s="103"/>
      <c r="G855" s="111"/>
      <c r="H855" s="112"/>
      <c r="I855" s="109"/>
      <c r="J855" s="109"/>
      <c r="K855" s="109">
        <f>SUM(K637:K673)</f>
        <v>0</v>
      </c>
      <c r="L855" s="109">
        <f>SUM(L637:L705)</f>
        <v>2649348000</v>
      </c>
      <c r="M855" s="109">
        <f t="shared" ref="M855:AC855" si="267">SUM(M637:M854)</f>
        <v>5074663000</v>
      </c>
      <c r="N855" s="109">
        <f t="shared" si="267"/>
        <v>6026566400</v>
      </c>
      <c r="O855" s="109">
        <f t="shared" si="267"/>
        <v>0</v>
      </c>
      <c r="P855" s="109">
        <f t="shared" si="267"/>
        <v>0</v>
      </c>
      <c r="Q855" s="109">
        <f t="shared" si="267"/>
        <v>0</v>
      </c>
      <c r="R855" s="109">
        <f t="shared" si="267"/>
        <v>0</v>
      </c>
      <c r="S855" s="109">
        <f t="shared" si="267"/>
        <v>5987358000</v>
      </c>
      <c r="T855" s="109">
        <f t="shared" si="267"/>
        <v>529869600</v>
      </c>
      <c r="U855" s="109">
        <f t="shared" si="267"/>
        <v>711344400</v>
      </c>
      <c r="V855" s="109">
        <f t="shared" si="267"/>
        <v>0</v>
      </c>
      <c r="W855" s="109">
        <f t="shared" si="267"/>
        <v>0</v>
      </c>
      <c r="X855" s="109">
        <f t="shared" si="267"/>
        <v>37461670</v>
      </c>
      <c r="Y855" s="109">
        <f t="shared" si="267"/>
        <v>183018565</v>
      </c>
      <c r="Z855" s="109">
        <f t="shared" si="267"/>
        <v>1014932600</v>
      </c>
      <c r="AA855" s="109">
        <f t="shared" si="267"/>
        <v>307021849.10273993</v>
      </c>
      <c r="AB855" s="109">
        <f t="shared" si="267"/>
        <v>447903450.34931493</v>
      </c>
      <c r="AC855" s="109">
        <f t="shared" si="267"/>
        <v>423310597.5</v>
      </c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</row>
    <row r="856" spans="1:61" s="37" customFormat="1" ht="27.6" customHeight="1" x14ac:dyDescent="0.2">
      <c r="A856" s="9">
        <v>842</v>
      </c>
      <c r="B856" s="58" t="s">
        <v>472</v>
      </c>
      <c r="C856" s="9" t="s">
        <v>473</v>
      </c>
      <c r="D856" s="71">
        <v>58341000</v>
      </c>
      <c r="E856" s="9"/>
      <c r="F856" s="9"/>
      <c r="G856" s="62"/>
      <c r="H856" s="54">
        <v>6.5</v>
      </c>
      <c r="I856" s="34"/>
      <c r="J856" s="34"/>
      <c r="K856" s="34"/>
      <c r="L856" s="34">
        <v>0</v>
      </c>
      <c r="M856" s="34">
        <v>58341000</v>
      </c>
      <c r="N856" s="34">
        <f>M856</f>
        <v>58341000</v>
      </c>
      <c r="O856" s="34"/>
      <c r="P856" s="34"/>
      <c r="Q856" s="34"/>
      <c r="R856" s="34">
        <v>0</v>
      </c>
      <c r="S856" s="34">
        <f>N856-U856</f>
        <v>46672800</v>
      </c>
      <c r="T856" s="34">
        <v>0</v>
      </c>
      <c r="U856" s="34">
        <f>D856/5</f>
        <v>11668200</v>
      </c>
      <c r="V856" s="34"/>
      <c r="W856" s="34"/>
      <c r="X856" s="34"/>
      <c r="Y856" s="34">
        <v>2150625</v>
      </c>
      <c r="Z856" s="34">
        <f>U856</f>
        <v>11668200</v>
      </c>
      <c r="AA856" s="34">
        <v>3792165</v>
      </c>
      <c r="AB856" s="8">
        <f>N856*6.5/100</f>
        <v>3792165</v>
      </c>
      <c r="AC856" s="4">
        <f t="shared" ref="AC856:AC919" si="268">S856*H856%</f>
        <v>3033732</v>
      </c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</row>
    <row r="857" spans="1:61" s="37" customFormat="1" ht="27.6" customHeight="1" x14ac:dyDescent="0.2">
      <c r="A857" s="9">
        <v>843</v>
      </c>
      <c r="B857" s="58" t="s">
        <v>431</v>
      </c>
      <c r="C857" s="9" t="s">
        <v>473</v>
      </c>
      <c r="D857" s="71">
        <v>50539000</v>
      </c>
      <c r="E857" s="9"/>
      <c r="F857" s="9"/>
      <c r="G857" s="62"/>
      <c r="H857" s="54">
        <v>6.5</v>
      </c>
      <c r="I857" s="34"/>
      <c r="J857" s="34"/>
      <c r="K857" s="34"/>
      <c r="L857" s="34">
        <v>0</v>
      </c>
      <c r="M857" s="34">
        <v>50539000</v>
      </c>
      <c r="N857" s="34">
        <f t="shared" ref="N857:N870" si="269">M857</f>
        <v>50539000</v>
      </c>
      <c r="O857" s="34"/>
      <c r="P857" s="34"/>
      <c r="Q857" s="34"/>
      <c r="R857" s="34">
        <v>0</v>
      </c>
      <c r="S857" s="34">
        <f t="shared" ref="S857:S870" si="270">N857-U857</f>
        <v>40431200</v>
      </c>
      <c r="T857" s="34">
        <v>0</v>
      </c>
      <c r="U857" s="34">
        <f t="shared" ref="U857:U870" si="271">D857/5</f>
        <v>10107800</v>
      </c>
      <c r="V857" s="34"/>
      <c r="W857" s="34"/>
      <c r="X857" s="34"/>
      <c r="Y857" s="34">
        <v>900009</v>
      </c>
      <c r="Z857" s="34">
        <f t="shared" ref="Z857:Z870" si="272">U857</f>
        <v>10107800</v>
      </c>
      <c r="AA857" s="34">
        <v>3285035</v>
      </c>
      <c r="AB857" s="8">
        <f t="shared" ref="AB857:AB870" si="273">N857*6.5/100</f>
        <v>3285035</v>
      </c>
      <c r="AC857" s="4">
        <f t="shared" si="268"/>
        <v>2628028</v>
      </c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</row>
    <row r="858" spans="1:61" s="37" customFormat="1" ht="27.6" customHeight="1" x14ac:dyDescent="0.2">
      <c r="A858" s="9">
        <v>844</v>
      </c>
      <c r="B858" s="58" t="s">
        <v>485</v>
      </c>
      <c r="C858" s="9" t="s">
        <v>473</v>
      </c>
      <c r="D858" s="71">
        <v>315277000</v>
      </c>
      <c r="E858" s="9"/>
      <c r="F858" s="9"/>
      <c r="G858" s="62"/>
      <c r="H858" s="54">
        <v>6.5</v>
      </c>
      <c r="I858" s="34"/>
      <c r="J858" s="34"/>
      <c r="K858" s="34"/>
      <c r="L858" s="34">
        <v>0</v>
      </c>
      <c r="M858" s="34">
        <v>315277000</v>
      </c>
      <c r="N858" s="34">
        <f t="shared" si="269"/>
        <v>315277000</v>
      </c>
      <c r="O858" s="34"/>
      <c r="P858" s="34"/>
      <c r="Q858" s="34"/>
      <c r="R858" s="34">
        <v>0</v>
      </c>
      <c r="S858" s="34">
        <f t="shared" si="270"/>
        <v>252221600</v>
      </c>
      <c r="T858" s="34">
        <v>0</v>
      </c>
      <c r="U858" s="34">
        <f t="shared" si="271"/>
        <v>63055400</v>
      </c>
      <c r="V858" s="34"/>
      <c r="W858" s="34"/>
      <c r="X858" s="34"/>
      <c r="Y858" s="34">
        <v>5502231</v>
      </c>
      <c r="Z858" s="34">
        <f t="shared" si="272"/>
        <v>63055400</v>
      </c>
      <c r="AA858" s="34">
        <v>20493005</v>
      </c>
      <c r="AB858" s="8">
        <f t="shared" si="273"/>
        <v>20493005</v>
      </c>
      <c r="AC858" s="4">
        <f t="shared" si="268"/>
        <v>16394404</v>
      </c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</row>
    <row r="859" spans="1:61" s="37" customFormat="1" ht="27.6" customHeight="1" x14ac:dyDescent="0.2">
      <c r="A859" s="9">
        <v>845</v>
      </c>
      <c r="B859" s="58" t="s">
        <v>489</v>
      </c>
      <c r="C859" s="9" t="s">
        <v>473</v>
      </c>
      <c r="D859" s="71">
        <v>186398000</v>
      </c>
      <c r="E859" s="9"/>
      <c r="F859" s="9"/>
      <c r="G859" s="62"/>
      <c r="H859" s="54">
        <v>6.5</v>
      </c>
      <c r="I859" s="34"/>
      <c r="J859" s="34"/>
      <c r="K859" s="34"/>
      <c r="L859" s="34">
        <v>0</v>
      </c>
      <c r="M859" s="34">
        <v>186398000</v>
      </c>
      <c r="N859" s="34">
        <f t="shared" si="269"/>
        <v>186398000</v>
      </c>
      <c r="O859" s="34"/>
      <c r="P859" s="34"/>
      <c r="Q859" s="34"/>
      <c r="R859" s="34">
        <v>0</v>
      </c>
      <c r="S859" s="34">
        <f t="shared" si="270"/>
        <v>149118400</v>
      </c>
      <c r="T859" s="34">
        <v>0</v>
      </c>
      <c r="U859" s="34">
        <f t="shared" si="271"/>
        <v>37279600</v>
      </c>
      <c r="V859" s="34"/>
      <c r="W859" s="34"/>
      <c r="X859" s="34"/>
      <c r="Y859" s="34">
        <v>2688727</v>
      </c>
      <c r="Z859" s="34">
        <f t="shared" si="272"/>
        <v>37279600</v>
      </c>
      <c r="AA859" s="34">
        <v>12115870</v>
      </c>
      <c r="AB859" s="8">
        <f t="shared" si="273"/>
        <v>12115870</v>
      </c>
      <c r="AC859" s="4">
        <f t="shared" si="268"/>
        <v>9692696</v>
      </c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</row>
    <row r="860" spans="1:61" s="37" customFormat="1" ht="27.6" customHeight="1" x14ac:dyDescent="0.2">
      <c r="A860" s="9">
        <v>846</v>
      </c>
      <c r="B860" s="58" t="s">
        <v>489</v>
      </c>
      <c r="C860" s="9" t="s">
        <v>473</v>
      </c>
      <c r="D860" s="71">
        <v>98272000</v>
      </c>
      <c r="E860" s="9"/>
      <c r="F860" s="9"/>
      <c r="G860" s="62"/>
      <c r="H860" s="54">
        <v>6.5</v>
      </c>
      <c r="I860" s="34"/>
      <c r="J860" s="34"/>
      <c r="K860" s="34"/>
      <c r="L860" s="34">
        <v>0</v>
      </c>
      <c r="M860" s="34">
        <v>98272000</v>
      </c>
      <c r="N860" s="34">
        <f t="shared" si="269"/>
        <v>98272000</v>
      </c>
      <c r="O860" s="34"/>
      <c r="P860" s="34"/>
      <c r="Q860" s="34"/>
      <c r="R860" s="34">
        <v>0</v>
      </c>
      <c r="S860" s="34">
        <f t="shared" si="270"/>
        <v>78617600</v>
      </c>
      <c r="T860" s="34">
        <v>0</v>
      </c>
      <c r="U860" s="34">
        <f t="shared" si="271"/>
        <v>19654400</v>
      </c>
      <c r="V860" s="34"/>
      <c r="W860" s="34"/>
      <c r="X860" s="34"/>
      <c r="Y860" s="34">
        <v>1417540</v>
      </c>
      <c r="Z860" s="34">
        <f t="shared" si="272"/>
        <v>19654400</v>
      </c>
      <c r="AA860" s="34">
        <v>6387680</v>
      </c>
      <c r="AB860" s="8">
        <f t="shared" si="273"/>
        <v>6387680</v>
      </c>
      <c r="AC860" s="4">
        <f t="shared" si="268"/>
        <v>5110144</v>
      </c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</row>
    <row r="861" spans="1:61" s="37" customFormat="1" ht="27.6" customHeight="1" x14ac:dyDescent="0.2">
      <c r="A861" s="9">
        <v>847</v>
      </c>
      <c r="B861" s="58" t="s">
        <v>543</v>
      </c>
      <c r="C861" s="9" t="s">
        <v>473</v>
      </c>
      <c r="D861" s="71">
        <v>42785000</v>
      </c>
      <c r="E861" s="9"/>
      <c r="F861" s="9"/>
      <c r="G861" s="62"/>
      <c r="H861" s="54">
        <v>6.5</v>
      </c>
      <c r="I861" s="34"/>
      <c r="J861" s="34"/>
      <c r="K861" s="34"/>
      <c r="L861" s="34">
        <v>0</v>
      </c>
      <c r="M861" s="34">
        <v>42785000</v>
      </c>
      <c r="N861" s="34">
        <f t="shared" si="269"/>
        <v>42785000</v>
      </c>
      <c r="O861" s="34"/>
      <c r="P861" s="34"/>
      <c r="Q861" s="34"/>
      <c r="R861" s="34">
        <v>0</v>
      </c>
      <c r="S861" s="34">
        <f t="shared" si="270"/>
        <v>34228000</v>
      </c>
      <c r="T861" s="34">
        <v>0</v>
      </c>
      <c r="U861" s="34">
        <f t="shared" si="271"/>
        <v>8557000</v>
      </c>
      <c r="V861" s="34"/>
      <c r="W861" s="34"/>
      <c r="X861" s="34"/>
      <c r="Y861" s="34">
        <v>297151</v>
      </c>
      <c r="Z861" s="34">
        <f t="shared" si="272"/>
        <v>8557000</v>
      </c>
      <c r="AA861" s="34">
        <v>2781025</v>
      </c>
      <c r="AB861" s="8">
        <f t="shared" si="273"/>
        <v>2781025</v>
      </c>
      <c r="AC861" s="4">
        <f t="shared" si="268"/>
        <v>2224820</v>
      </c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</row>
    <row r="862" spans="1:61" s="37" customFormat="1" ht="27.6" customHeight="1" x14ac:dyDescent="0.2">
      <c r="A862" s="9">
        <v>848</v>
      </c>
      <c r="B862" s="58" t="s">
        <v>544</v>
      </c>
      <c r="C862" s="9" t="s">
        <v>473</v>
      </c>
      <c r="D862" s="71">
        <v>24819000</v>
      </c>
      <c r="E862" s="9"/>
      <c r="F862" s="9"/>
      <c r="G862" s="62"/>
      <c r="H862" s="54">
        <v>6.5</v>
      </c>
      <c r="I862" s="34"/>
      <c r="J862" s="34"/>
      <c r="K862" s="34"/>
      <c r="L862" s="34">
        <v>0</v>
      </c>
      <c r="M862" s="34">
        <v>24819000</v>
      </c>
      <c r="N862" s="34">
        <f t="shared" si="269"/>
        <v>24819000</v>
      </c>
      <c r="O862" s="34"/>
      <c r="P862" s="34"/>
      <c r="Q862" s="34"/>
      <c r="R862" s="34">
        <v>0</v>
      </c>
      <c r="S862" s="34">
        <f t="shared" si="270"/>
        <v>19855200</v>
      </c>
      <c r="T862" s="34">
        <v>0</v>
      </c>
      <c r="U862" s="34">
        <f t="shared" si="271"/>
        <v>4963800</v>
      </c>
      <c r="V862" s="34"/>
      <c r="W862" s="34"/>
      <c r="X862" s="34"/>
      <c r="Y862" s="34">
        <v>167953</v>
      </c>
      <c r="Z862" s="34">
        <f t="shared" si="272"/>
        <v>4963800</v>
      </c>
      <c r="AA862" s="34">
        <v>1613235</v>
      </c>
      <c r="AB862" s="8">
        <f t="shared" si="273"/>
        <v>1613235</v>
      </c>
      <c r="AC862" s="4">
        <f t="shared" si="268"/>
        <v>1290588</v>
      </c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</row>
    <row r="863" spans="1:61" s="37" customFormat="1" ht="27.6" customHeight="1" x14ac:dyDescent="0.2">
      <c r="A863" s="9">
        <v>849</v>
      </c>
      <c r="B863" s="58" t="s">
        <v>1</v>
      </c>
      <c r="C863" s="9" t="s">
        <v>473</v>
      </c>
      <c r="D863" s="71">
        <v>124146000</v>
      </c>
      <c r="E863" s="9"/>
      <c r="F863" s="9"/>
      <c r="G863" s="62"/>
      <c r="H863" s="54">
        <v>6.5</v>
      </c>
      <c r="I863" s="34"/>
      <c r="J863" s="34"/>
      <c r="K863" s="34"/>
      <c r="L863" s="34">
        <v>0</v>
      </c>
      <c r="M863" s="34">
        <v>124146000</v>
      </c>
      <c r="N863" s="34">
        <f t="shared" si="269"/>
        <v>124146000</v>
      </c>
      <c r="O863" s="34"/>
      <c r="P863" s="34"/>
      <c r="Q863" s="34"/>
      <c r="R863" s="34">
        <v>0</v>
      </c>
      <c r="S863" s="34">
        <f t="shared" si="270"/>
        <v>99316800</v>
      </c>
      <c r="T863" s="34">
        <v>0</v>
      </c>
      <c r="U863" s="34">
        <f t="shared" si="271"/>
        <v>24829200</v>
      </c>
      <c r="V863" s="34"/>
      <c r="W863" s="34"/>
      <c r="X863" s="34"/>
      <c r="Y863" s="34">
        <v>420056</v>
      </c>
      <c r="Z863" s="34">
        <f t="shared" si="272"/>
        <v>24829200</v>
      </c>
      <c r="AA863" s="34">
        <v>8069490</v>
      </c>
      <c r="AB863" s="8">
        <f t="shared" si="273"/>
        <v>8069490</v>
      </c>
      <c r="AC863" s="4">
        <f t="shared" si="268"/>
        <v>6455592</v>
      </c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</row>
    <row r="864" spans="1:61" s="37" customFormat="1" ht="27.6" customHeight="1" x14ac:dyDescent="0.2">
      <c r="A864" s="9">
        <v>850</v>
      </c>
      <c r="B864" s="58" t="s">
        <v>549</v>
      </c>
      <c r="C864" s="9" t="s">
        <v>473</v>
      </c>
      <c r="D864" s="71">
        <v>129932000</v>
      </c>
      <c r="E864" s="9"/>
      <c r="F864" s="9"/>
      <c r="G864" s="62"/>
      <c r="H864" s="54">
        <v>6.5</v>
      </c>
      <c r="I864" s="34"/>
      <c r="J864" s="34"/>
      <c r="K864" s="34"/>
      <c r="L864" s="34">
        <v>0</v>
      </c>
      <c r="M864" s="34">
        <v>129932000</v>
      </c>
      <c r="N864" s="34">
        <f t="shared" si="269"/>
        <v>129932000</v>
      </c>
      <c r="O864" s="34"/>
      <c r="P864" s="34"/>
      <c r="Q864" s="34"/>
      <c r="R864" s="34">
        <v>0</v>
      </c>
      <c r="S864" s="34">
        <f t="shared" si="270"/>
        <v>103945600</v>
      </c>
      <c r="T864" s="34">
        <v>0</v>
      </c>
      <c r="U864" s="34">
        <f t="shared" si="271"/>
        <v>25986400</v>
      </c>
      <c r="V864" s="34"/>
      <c r="W864" s="34"/>
      <c r="X864" s="34"/>
      <c r="Y864" s="34">
        <v>277663</v>
      </c>
      <c r="Z864" s="34">
        <f t="shared" si="272"/>
        <v>25986400</v>
      </c>
      <c r="AA864" s="34">
        <v>8445580</v>
      </c>
      <c r="AB864" s="8">
        <f t="shared" si="273"/>
        <v>8445580</v>
      </c>
      <c r="AC864" s="4">
        <f t="shared" si="268"/>
        <v>6756464</v>
      </c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</row>
    <row r="865" spans="1:61" s="37" customFormat="1" ht="27.6" customHeight="1" x14ac:dyDescent="0.2">
      <c r="A865" s="9">
        <v>851</v>
      </c>
      <c r="B865" s="58" t="s">
        <v>549</v>
      </c>
      <c r="C865" s="9" t="s">
        <v>473</v>
      </c>
      <c r="D865" s="71">
        <v>90907000</v>
      </c>
      <c r="E865" s="9"/>
      <c r="F865" s="9"/>
      <c r="G865" s="62"/>
      <c r="H865" s="54">
        <v>6.5</v>
      </c>
      <c r="I865" s="34"/>
      <c r="J865" s="34"/>
      <c r="K865" s="34"/>
      <c r="L865" s="34">
        <v>0</v>
      </c>
      <c r="M865" s="34">
        <v>90907000</v>
      </c>
      <c r="N865" s="34">
        <f t="shared" si="269"/>
        <v>90907000</v>
      </c>
      <c r="O865" s="34"/>
      <c r="P865" s="34"/>
      <c r="Q865" s="34"/>
      <c r="R865" s="34">
        <v>0</v>
      </c>
      <c r="S865" s="34">
        <f t="shared" si="270"/>
        <v>72725600</v>
      </c>
      <c r="T865" s="34">
        <v>0</v>
      </c>
      <c r="U865" s="34">
        <f t="shared" si="271"/>
        <v>18181400</v>
      </c>
      <c r="V865" s="34"/>
      <c r="W865" s="34"/>
      <c r="X865" s="34"/>
      <c r="Y865" s="34">
        <v>194267</v>
      </c>
      <c r="Z865" s="34">
        <f t="shared" si="272"/>
        <v>18181400</v>
      </c>
      <c r="AA865" s="34">
        <v>5908955</v>
      </c>
      <c r="AB865" s="8">
        <f t="shared" si="273"/>
        <v>5908955</v>
      </c>
      <c r="AC865" s="4">
        <f t="shared" si="268"/>
        <v>4727164</v>
      </c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</row>
    <row r="866" spans="1:61" s="37" customFormat="1" ht="27.6" customHeight="1" x14ac:dyDescent="0.2">
      <c r="A866" s="9">
        <v>852</v>
      </c>
      <c r="B866" s="58" t="s">
        <v>550</v>
      </c>
      <c r="C866" s="9" t="s">
        <v>473</v>
      </c>
      <c r="D866" s="71">
        <v>121928000</v>
      </c>
      <c r="E866" s="9"/>
      <c r="F866" s="9"/>
      <c r="G866" s="62"/>
      <c r="H866" s="54">
        <v>6.5</v>
      </c>
      <c r="I866" s="34"/>
      <c r="J866" s="34"/>
      <c r="K866" s="34"/>
      <c r="L866" s="34">
        <v>0</v>
      </c>
      <c r="M866" s="34">
        <v>121928000</v>
      </c>
      <c r="N866" s="34">
        <f t="shared" si="269"/>
        <v>121928000</v>
      </c>
      <c r="O866" s="34"/>
      <c r="P866" s="34"/>
      <c r="Q866" s="34"/>
      <c r="R866" s="34">
        <v>0</v>
      </c>
      <c r="S866" s="34">
        <f t="shared" si="270"/>
        <v>97542400</v>
      </c>
      <c r="T866" s="34">
        <v>0</v>
      </c>
      <c r="U866" s="34">
        <f t="shared" si="271"/>
        <v>24385600</v>
      </c>
      <c r="V866" s="34"/>
      <c r="W866" s="34"/>
      <c r="X866" s="34"/>
      <c r="Y866" s="34">
        <v>130279</v>
      </c>
      <c r="Z866" s="34">
        <f t="shared" si="272"/>
        <v>24385600</v>
      </c>
      <c r="AA866" s="34">
        <v>7925320</v>
      </c>
      <c r="AB866" s="8">
        <f t="shared" si="273"/>
        <v>7925320</v>
      </c>
      <c r="AC866" s="4">
        <f t="shared" si="268"/>
        <v>6340256</v>
      </c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</row>
    <row r="867" spans="1:61" s="37" customFormat="1" ht="27.6" customHeight="1" x14ac:dyDescent="0.2">
      <c r="A867" s="9">
        <v>853</v>
      </c>
      <c r="B867" s="58" t="s">
        <v>551</v>
      </c>
      <c r="C867" s="9" t="s">
        <v>473</v>
      </c>
      <c r="D867" s="71">
        <v>254509000</v>
      </c>
      <c r="E867" s="9"/>
      <c r="F867" s="9"/>
      <c r="G867" s="62"/>
      <c r="H867" s="54">
        <v>6.5</v>
      </c>
      <c r="I867" s="34"/>
      <c r="J867" s="34"/>
      <c r="K867" s="34"/>
      <c r="L867" s="34">
        <v>0</v>
      </c>
      <c r="M867" s="34">
        <v>254509000</v>
      </c>
      <c r="N867" s="34">
        <f t="shared" si="269"/>
        <v>254509000</v>
      </c>
      <c r="O867" s="34"/>
      <c r="P867" s="34"/>
      <c r="Q867" s="34"/>
      <c r="R867" s="34">
        <v>0</v>
      </c>
      <c r="S867" s="34">
        <f t="shared" si="270"/>
        <v>203607200</v>
      </c>
      <c r="T867" s="34">
        <v>0</v>
      </c>
      <c r="U867" s="34">
        <f t="shared" si="271"/>
        <v>50901800</v>
      </c>
      <c r="V867" s="34"/>
      <c r="W867" s="34"/>
      <c r="X867" s="34"/>
      <c r="Y867" s="34">
        <v>226618</v>
      </c>
      <c r="Z867" s="34">
        <f t="shared" si="272"/>
        <v>50901800</v>
      </c>
      <c r="AA867" s="34">
        <v>16543085</v>
      </c>
      <c r="AB867" s="8">
        <f t="shared" si="273"/>
        <v>16543085</v>
      </c>
      <c r="AC867" s="4">
        <f t="shared" si="268"/>
        <v>13234468</v>
      </c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</row>
    <row r="868" spans="1:61" s="37" customFormat="1" ht="27.6" customHeight="1" x14ac:dyDescent="0.2">
      <c r="A868" s="9">
        <v>854</v>
      </c>
      <c r="B868" s="58" t="s">
        <v>553</v>
      </c>
      <c r="C868" s="9" t="s">
        <v>473</v>
      </c>
      <c r="D868" s="71">
        <v>114983000</v>
      </c>
      <c r="E868" s="9"/>
      <c r="F868" s="9"/>
      <c r="G868" s="62"/>
      <c r="H868" s="54">
        <v>6.5</v>
      </c>
      <c r="I868" s="34"/>
      <c r="J868" s="34"/>
      <c r="K868" s="34"/>
      <c r="L868" s="34">
        <v>0</v>
      </c>
      <c r="M868" s="34">
        <v>114983000</v>
      </c>
      <c r="N868" s="34">
        <f t="shared" si="269"/>
        <v>114983000</v>
      </c>
      <c r="O868" s="34"/>
      <c r="P868" s="34"/>
      <c r="Q868" s="34"/>
      <c r="R868" s="34">
        <v>0</v>
      </c>
      <c r="S868" s="34">
        <f t="shared" si="270"/>
        <v>91986400</v>
      </c>
      <c r="T868" s="34">
        <v>0</v>
      </c>
      <c r="U868" s="34">
        <f t="shared" si="271"/>
        <v>22996600</v>
      </c>
      <c r="V868" s="34"/>
      <c r="W868" s="34"/>
      <c r="X868" s="34"/>
      <c r="Y868" s="34">
        <v>61429</v>
      </c>
      <c r="Z868" s="34">
        <f t="shared" si="272"/>
        <v>22996600</v>
      </c>
      <c r="AA868" s="34">
        <v>7473895</v>
      </c>
      <c r="AB868" s="8">
        <f t="shared" si="273"/>
        <v>7473895</v>
      </c>
      <c r="AC868" s="4">
        <f t="shared" si="268"/>
        <v>5979116</v>
      </c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</row>
    <row r="869" spans="1:61" s="37" customFormat="1" ht="27.6" customHeight="1" x14ac:dyDescent="0.2">
      <c r="A869" s="9">
        <v>855</v>
      </c>
      <c r="B869" s="58" t="s">
        <v>555</v>
      </c>
      <c r="C869" s="9" t="s">
        <v>473</v>
      </c>
      <c r="D869" s="71">
        <v>109640000</v>
      </c>
      <c r="E869" s="9"/>
      <c r="F869" s="9"/>
      <c r="G869" s="62"/>
      <c r="H869" s="54">
        <v>6.5</v>
      </c>
      <c r="I869" s="34"/>
      <c r="J869" s="34"/>
      <c r="K869" s="34"/>
      <c r="L869" s="34">
        <v>0</v>
      </c>
      <c r="M869" s="34">
        <v>109640000</v>
      </c>
      <c r="N869" s="34">
        <f t="shared" si="269"/>
        <v>109640000</v>
      </c>
      <c r="O869" s="34"/>
      <c r="P869" s="34"/>
      <c r="Q869" s="34"/>
      <c r="R869" s="34">
        <v>0</v>
      </c>
      <c r="S869" s="34">
        <f t="shared" si="270"/>
        <v>87712000</v>
      </c>
      <c r="T869" s="34">
        <v>0</v>
      </c>
      <c r="U869" s="34">
        <f t="shared" si="271"/>
        <v>21928000</v>
      </c>
      <c r="V869" s="34"/>
      <c r="W869" s="34"/>
      <c r="X869" s="34"/>
      <c r="Y869" s="34">
        <v>19525</v>
      </c>
      <c r="Z869" s="34">
        <f t="shared" si="272"/>
        <v>21928000</v>
      </c>
      <c r="AA869" s="34">
        <v>7126600</v>
      </c>
      <c r="AB869" s="8">
        <f t="shared" si="273"/>
        <v>7126600</v>
      </c>
      <c r="AC869" s="4">
        <f t="shared" si="268"/>
        <v>5701280</v>
      </c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</row>
    <row r="870" spans="1:61" s="37" customFormat="1" ht="27.6" customHeight="1" x14ac:dyDescent="0.2">
      <c r="A870" s="9">
        <v>856</v>
      </c>
      <c r="B870" s="58" t="s">
        <v>555</v>
      </c>
      <c r="C870" s="9" t="s">
        <v>473</v>
      </c>
      <c r="D870" s="71">
        <v>241263000</v>
      </c>
      <c r="E870" s="9"/>
      <c r="F870" s="9"/>
      <c r="G870" s="62"/>
      <c r="H870" s="54">
        <v>6.5</v>
      </c>
      <c r="I870" s="34"/>
      <c r="J870" s="34"/>
      <c r="K870" s="34"/>
      <c r="L870" s="34">
        <v>0</v>
      </c>
      <c r="M870" s="34">
        <v>241263000</v>
      </c>
      <c r="N870" s="34">
        <f t="shared" si="269"/>
        <v>241263000</v>
      </c>
      <c r="O870" s="34"/>
      <c r="P870" s="34"/>
      <c r="Q870" s="34"/>
      <c r="R870" s="34">
        <v>0</v>
      </c>
      <c r="S870" s="34">
        <f t="shared" si="270"/>
        <v>193010400</v>
      </c>
      <c r="T870" s="34">
        <v>0</v>
      </c>
      <c r="U870" s="34">
        <f t="shared" si="271"/>
        <v>48252600</v>
      </c>
      <c r="V870" s="34"/>
      <c r="W870" s="34"/>
      <c r="X870" s="34"/>
      <c r="Y870" s="34">
        <v>42965</v>
      </c>
      <c r="Z870" s="34">
        <f t="shared" si="272"/>
        <v>48252600</v>
      </c>
      <c r="AA870" s="34">
        <v>15682095</v>
      </c>
      <c r="AB870" s="8">
        <f t="shared" si="273"/>
        <v>15682095</v>
      </c>
      <c r="AC870" s="4">
        <f t="shared" si="268"/>
        <v>12545676</v>
      </c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</row>
    <row r="871" spans="1:61" s="37" customFormat="1" ht="27.6" customHeight="1" x14ac:dyDescent="0.2">
      <c r="A871" s="9">
        <v>857</v>
      </c>
      <c r="B871" s="58" t="s">
        <v>556</v>
      </c>
      <c r="C871" s="9" t="s">
        <v>473</v>
      </c>
      <c r="D871" s="71">
        <v>107354000</v>
      </c>
      <c r="E871" s="9"/>
      <c r="F871" s="9"/>
      <c r="G871" s="62"/>
      <c r="H871" s="54">
        <v>7.5</v>
      </c>
      <c r="I871" s="34"/>
      <c r="J871" s="34"/>
      <c r="K871" s="34"/>
      <c r="L871" s="34"/>
      <c r="M871" s="34">
        <f>N871</f>
        <v>107354000</v>
      </c>
      <c r="N871" s="34">
        <v>107354000</v>
      </c>
      <c r="O871" s="34"/>
      <c r="P871" s="34"/>
      <c r="Q871" s="34"/>
      <c r="R871" s="34"/>
      <c r="S871" s="34">
        <f>N871-U871</f>
        <v>107354000</v>
      </c>
      <c r="T871" s="34">
        <v>0</v>
      </c>
      <c r="U871" s="34">
        <v>0</v>
      </c>
      <c r="V871" s="34"/>
      <c r="W871" s="34"/>
      <c r="X871" s="34"/>
      <c r="Y871" s="34"/>
      <c r="Z871" s="34">
        <f>D871/5</f>
        <v>21470800</v>
      </c>
      <c r="AA871" s="34">
        <f>AB871/365*300</f>
        <v>6617712.3287671227</v>
      </c>
      <c r="AB871" s="8">
        <f>N871*7.5/100</f>
        <v>8051550</v>
      </c>
      <c r="AC871" s="4">
        <f t="shared" si="268"/>
        <v>8051550</v>
      </c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</row>
    <row r="872" spans="1:61" s="37" customFormat="1" ht="27.6" customHeight="1" x14ac:dyDescent="0.2">
      <c r="A872" s="9">
        <v>858</v>
      </c>
      <c r="B872" s="58" t="s">
        <v>556</v>
      </c>
      <c r="C872" s="9" t="s">
        <v>473</v>
      </c>
      <c r="D872" s="71">
        <v>142191000</v>
      </c>
      <c r="E872" s="9"/>
      <c r="F872" s="9"/>
      <c r="G872" s="62"/>
      <c r="H872" s="54">
        <v>7.5</v>
      </c>
      <c r="I872" s="34"/>
      <c r="J872" s="34"/>
      <c r="K872" s="34"/>
      <c r="L872" s="34"/>
      <c r="M872" s="34">
        <f t="shared" ref="M872:M914" si="274">N872</f>
        <v>142191000</v>
      </c>
      <c r="N872" s="34">
        <v>142191000</v>
      </c>
      <c r="O872" s="34"/>
      <c r="P872" s="34"/>
      <c r="Q872" s="34"/>
      <c r="R872" s="34"/>
      <c r="S872" s="34">
        <f t="shared" ref="S872:S935" si="275">N872-U872</f>
        <v>142191000</v>
      </c>
      <c r="T872" s="34">
        <v>0</v>
      </c>
      <c r="U872" s="34">
        <v>0</v>
      </c>
      <c r="V872" s="34"/>
      <c r="W872" s="34"/>
      <c r="X872" s="34"/>
      <c r="Y872" s="34"/>
      <c r="Z872" s="34">
        <f t="shared" ref="Z872:Z914" si="276">D872/5</f>
        <v>28438200</v>
      </c>
      <c r="AA872" s="34">
        <f>AB872/365*300</f>
        <v>8765198.6301369853</v>
      </c>
      <c r="AB872" s="8">
        <f>N872*7.5/100</f>
        <v>10664325</v>
      </c>
      <c r="AC872" s="4">
        <f t="shared" si="268"/>
        <v>10664325</v>
      </c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</row>
    <row r="873" spans="1:61" s="37" customFormat="1" ht="27.6" customHeight="1" x14ac:dyDescent="0.2">
      <c r="A873" s="9">
        <v>859</v>
      </c>
      <c r="B873" s="58" t="s">
        <v>556</v>
      </c>
      <c r="C873" s="9" t="s">
        <v>473</v>
      </c>
      <c r="D873" s="71">
        <v>42858000</v>
      </c>
      <c r="E873" s="9"/>
      <c r="F873" s="9"/>
      <c r="G873" s="62"/>
      <c r="H873" s="54">
        <v>7.5</v>
      </c>
      <c r="I873" s="34"/>
      <c r="J873" s="34"/>
      <c r="K873" s="34"/>
      <c r="L873" s="34"/>
      <c r="M873" s="34">
        <f t="shared" si="274"/>
        <v>42858000</v>
      </c>
      <c r="N873" s="34">
        <v>42858000</v>
      </c>
      <c r="O873" s="34"/>
      <c r="P873" s="34"/>
      <c r="Q873" s="34"/>
      <c r="R873" s="34"/>
      <c r="S873" s="34">
        <f t="shared" si="275"/>
        <v>42858000</v>
      </c>
      <c r="T873" s="34">
        <v>0</v>
      </c>
      <c r="U873" s="34">
        <v>0</v>
      </c>
      <c r="V873" s="34"/>
      <c r="W873" s="34"/>
      <c r="X873" s="34"/>
      <c r="Y873" s="34"/>
      <c r="Z873" s="34">
        <f t="shared" si="276"/>
        <v>8571600</v>
      </c>
      <c r="AA873" s="34">
        <f>AB873/365*300</f>
        <v>2641931.5068493155</v>
      </c>
      <c r="AB873" s="8">
        <f>N873*7.5/100</f>
        <v>3214350</v>
      </c>
      <c r="AC873" s="4">
        <f t="shared" si="268"/>
        <v>3214350</v>
      </c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</row>
    <row r="874" spans="1:61" s="37" customFormat="1" ht="27.6" customHeight="1" x14ac:dyDescent="0.2">
      <c r="A874" s="9">
        <v>860</v>
      </c>
      <c r="B874" s="58" t="s">
        <v>557</v>
      </c>
      <c r="C874" s="9" t="s">
        <v>473</v>
      </c>
      <c r="D874" s="71">
        <v>391362000</v>
      </c>
      <c r="E874" s="9"/>
      <c r="F874" s="9"/>
      <c r="G874" s="62"/>
      <c r="H874" s="54">
        <v>7.5</v>
      </c>
      <c r="I874" s="34"/>
      <c r="J874" s="34"/>
      <c r="K874" s="34"/>
      <c r="L874" s="34"/>
      <c r="M874" s="34">
        <f t="shared" si="274"/>
        <v>391362000</v>
      </c>
      <c r="N874" s="34">
        <v>391362000</v>
      </c>
      <c r="O874" s="34"/>
      <c r="P874" s="34"/>
      <c r="Q874" s="34"/>
      <c r="R874" s="34"/>
      <c r="S874" s="34">
        <f t="shared" si="275"/>
        <v>391362000</v>
      </c>
      <c r="T874" s="34">
        <v>0</v>
      </c>
      <c r="U874" s="34">
        <v>0</v>
      </c>
      <c r="V874" s="34"/>
      <c r="W874" s="34"/>
      <c r="X874" s="34"/>
      <c r="Y874" s="34"/>
      <c r="Z874" s="34">
        <f t="shared" si="276"/>
        <v>78272400</v>
      </c>
      <c r="AA874" s="34">
        <f>AB874/365*296</f>
        <v>23803387.397260275</v>
      </c>
      <c r="AB874" s="8">
        <f>N874*7.5/100</f>
        <v>29352150</v>
      </c>
      <c r="AC874" s="4">
        <f t="shared" si="268"/>
        <v>29352150</v>
      </c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</row>
    <row r="875" spans="1:61" s="37" customFormat="1" ht="27.6" customHeight="1" x14ac:dyDescent="0.2">
      <c r="A875" s="9">
        <v>861</v>
      </c>
      <c r="B875" s="58" t="s">
        <v>557</v>
      </c>
      <c r="C875" s="9" t="s">
        <v>473</v>
      </c>
      <c r="D875" s="71">
        <v>1639000</v>
      </c>
      <c r="E875" s="9"/>
      <c r="F875" s="9"/>
      <c r="G875" s="62"/>
      <c r="H875" s="54">
        <v>7.5</v>
      </c>
      <c r="I875" s="34"/>
      <c r="J875" s="34"/>
      <c r="K875" s="34"/>
      <c r="L875" s="34"/>
      <c r="M875" s="34">
        <f t="shared" si="274"/>
        <v>1639000</v>
      </c>
      <c r="N875" s="34">
        <v>1639000</v>
      </c>
      <c r="O875" s="34"/>
      <c r="P875" s="34"/>
      <c r="Q875" s="34"/>
      <c r="R875" s="34"/>
      <c r="S875" s="34">
        <f t="shared" si="275"/>
        <v>1639000</v>
      </c>
      <c r="T875" s="34">
        <v>0</v>
      </c>
      <c r="U875" s="34">
        <v>0</v>
      </c>
      <c r="V875" s="34"/>
      <c r="W875" s="34"/>
      <c r="X875" s="34"/>
      <c r="Y875" s="34"/>
      <c r="Z875" s="34">
        <f t="shared" si="276"/>
        <v>327800</v>
      </c>
      <c r="AA875" s="34">
        <f>AB875/365*296</f>
        <v>99687.123287671231</v>
      </c>
      <c r="AB875" s="8">
        <f t="shared" ref="AB875:AB899" si="277">N875*7.5/100</f>
        <v>122925</v>
      </c>
      <c r="AC875" s="4">
        <f t="shared" si="268"/>
        <v>122925</v>
      </c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</row>
    <row r="876" spans="1:61" s="37" customFormat="1" ht="27.6" customHeight="1" x14ac:dyDescent="0.2">
      <c r="A876" s="9">
        <v>862</v>
      </c>
      <c r="B876" s="58" t="s">
        <v>558</v>
      </c>
      <c r="C876" s="9" t="s">
        <v>473</v>
      </c>
      <c r="D876" s="71">
        <v>2969000</v>
      </c>
      <c r="E876" s="9"/>
      <c r="F876" s="9"/>
      <c r="G876" s="62"/>
      <c r="H876" s="54">
        <v>7.5</v>
      </c>
      <c r="I876" s="34"/>
      <c r="J876" s="34"/>
      <c r="K876" s="34"/>
      <c r="L876" s="34"/>
      <c r="M876" s="34">
        <f t="shared" si="274"/>
        <v>2969000</v>
      </c>
      <c r="N876" s="34">
        <v>2969000</v>
      </c>
      <c r="O876" s="34"/>
      <c r="P876" s="34"/>
      <c r="Q876" s="34"/>
      <c r="R876" s="34"/>
      <c r="S876" s="34">
        <f t="shared" si="275"/>
        <v>2969000</v>
      </c>
      <c r="T876" s="34">
        <v>0</v>
      </c>
      <c r="U876" s="34">
        <v>0</v>
      </c>
      <c r="V876" s="34"/>
      <c r="W876" s="34"/>
      <c r="X876" s="34"/>
      <c r="Y876" s="34"/>
      <c r="Z876" s="34">
        <f t="shared" si="276"/>
        <v>593800</v>
      </c>
      <c r="AA876" s="34">
        <f>AB876/365*295</f>
        <v>179970.20547945207</v>
      </c>
      <c r="AB876" s="8">
        <f t="shared" si="277"/>
        <v>222675</v>
      </c>
      <c r="AC876" s="4">
        <f t="shared" si="268"/>
        <v>222675</v>
      </c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</row>
    <row r="877" spans="1:61" s="37" customFormat="1" ht="27.6" customHeight="1" x14ac:dyDescent="0.2">
      <c r="A877" s="9">
        <v>863</v>
      </c>
      <c r="B877" s="58" t="s">
        <v>561</v>
      </c>
      <c r="C877" s="9" t="s">
        <v>473</v>
      </c>
      <c r="D877" s="71">
        <v>5672000</v>
      </c>
      <c r="E877" s="9"/>
      <c r="F877" s="9"/>
      <c r="G877" s="62"/>
      <c r="H877" s="54">
        <v>7.5</v>
      </c>
      <c r="I877" s="34"/>
      <c r="J877" s="34"/>
      <c r="K877" s="34"/>
      <c r="L877" s="34"/>
      <c r="M877" s="34">
        <f t="shared" si="274"/>
        <v>5672000</v>
      </c>
      <c r="N877" s="34">
        <v>5672000</v>
      </c>
      <c r="O877" s="34"/>
      <c r="P877" s="34"/>
      <c r="Q877" s="34"/>
      <c r="R877" s="34"/>
      <c r="S877" s="34">
        <f t="shared" si="275"/>
        <v>5672000</v>
      </c>
      <c r="T877" s="34">
        <v>0</v>
      </c>
      <c r="U877" s="34">
        <v>0</v>
      </c>
      <c r="V877" s="34"/>
      <c r="W877" s="34"/>
      <c r="X877" s="34"/>
      <c r="Y877" s="34"/>
      <c r="Z877" s="34">
        <f t="shared" si="276"/>
        <v>1134400</v>
      </c>
      <c r="AA877" s="34">
        <f>AB877/365*286</f>
        <v>333327.12328767125</v>
      </c>
      <c r="AB877" s="8">
        <f t="shared" si="277"/>
        <v>425400</v>
      </c>
      <c r="AC877" s="4">
        <f t="shared" si="268"/>
        <v>425400</v>
      </c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</row>
    <row r="878" spans="1:61" s="37" customFormat="1" ht="27.6" customHeight="1" x14ac:dyDescent="0.2">
      <c r="A878" s="9">
        <v>864</v>
      </c>
      <c r="B878" s="58" t="s">
        <v>570</v>
      </c>
      <c r="C878" s="9" t="s">
        <v>473</v>
      </c>
      <c r="D878" s="71">
        <v>8774000</v>
      </c>
      <c r="E878" s="9"/>
      <c r="F878" s="9"/>
      <c r="G878" s="62"/>
      <c r="H878" s="54">
        <v>7.5</v>
      </c>
      <c r="I878" s="34"/>
      <c r="J878" s="34"/>
      <c r="K878" s="34"/>
      <c r="L878" s="34"/>
      <c r="M878" s="34">
        <f t="shared" si="274"/>
        <v>8774000</v>
      </c>
      <c r="N878" s="34">
        <v>8774000</v>
      </c>
      <c r="O878" s="34"/>
      <c r="P878" s="34"/>
      <c r="Q878" s="34"/>
      <c r="R878" s="34"/>
      <c r="S878" s="34">
        <f t="shared" si="275"/>
        <v>8774000</v>
      </c>
      <c r="T878" s="34">
        <v>0</v>
      </c>
      <c r="U878" s="34">
        <v>0</v>
      </c>
      <c r="V878" s="34"/>
      <c r="W878" s="34"/>
      <c r="X878" s="34"/>
      <c r="Y878" s="34"/>
      <c r="Z878" s="34">
        <f t="shared" si="276"/>
        <v>1754800</v>
      </c>
      <c r="AA878" s="34">
        <f>AB878/365*222</f>
        <v>400238.63013698632</v>
      </c>
      <c r="AB878" s="8">
        <f t="shared" si="277"/>
        <v>658050</v>
      </c>
      <c r="AC878" s="4">
        <f t="shared" si="268"/>
        <v>658050</v>
      </c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</row>
    <row r="879" spans="1:61" s="37" customFormat="1" ht="27.6" customHeight="1" x14ac:dyDescent="0.2">
      <c r="A879" s="9">
        <v>865</v>
      </c>
      <c r="B879" s="58" t="s">
        <v>573</v>
      </c>
      <c r="C879" s="9" t="s">
        <v>473</v>
      </c>
      <c r="D879" s="71">
        <v>233095000</v>
      </c>
      <c r="E879" s="9"/>
      <c r="F879" s="9"/>
      <c r="G879" s="62"/>
      <c r="H879" s="54">
        <v>7.5</v>
      </c>
      <c r="I879" s="34"/>
      <c r="J879" s="34"/>
      <c r="K879" s="34"/>
      <c r="L879" s="34"/>
      <c r="M879" s="34">
        <f t="shared" si="274"/>
        <v>233095000</v>
      </c>
      <c r="N879" s="34">
        <v>233095000</v>
      </c>
      <c r="O879" s="34"/>
      <c r="P879" s="34"/>
      <c r="Q879" s="34"/>
      <c r="R879" s="34"/>
      <c r="S879" s="34">
        <f t="shared" si="275"/>
        <v>233095000</v>
      </c>
      <c r="T879" s="34">
        <v>0</v>
      </c>
      <c r="U879" s="34">
        <v>0</v>
      </c>
      <c r="V879" s="34"/>
      <c r="W879" s="34"/>
      <c r="X879" s="34"/>
      <c r="Y879" s="34"/>
      <c r="Z879" s="34">
        <f t="shared" si="276"/>
        <v>46619000</v>
      </c>
      <c r="AA879" s="34">
        <f>AB879/365*216</f>
        <v>10345586.301369863</v>
      </c>
      <c r="AB879" s="8">
        <f t="shared" si="277"/>
        <v>17482125</v>
      </c>
      <c r="AC879" s="4">
        <f t="shared" si="268"/>
        <v>17482125</v>
      </c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</row>
    <row r="880" spans="1:61" s="37" customFormat="1" ht="27.6" customHeight="1" x14ac:dyDescent="0.2">
      <c r="A880" s="9">
        <v>866</v>
      </c>
      <c r="B880" s="58" t="s">
        <v>574</v>
      </c>
      <c r="C880" s="9" t="s">
        <v>473</v>
      </c>
      <c r="D880" s="71">
        <v>12337000</v>
      </c>
      <c r="E880" s="9"/>
      <c r="F880" s="9"/>
      <c r="G880" s="62"/>
      <c r="H880" s="54">
        <v>7.5</v>
      </c>
      <c r="I880" s="34"/>
      <c r="J880" s="34"/>
      <c r="K880" s="34"/>
      <c r="L880" s="34"/>
      <c r="M880" s="34">
        <f t="shared" si="274"/>
        <v>12337000</v>
      </c>
      <c r="N880" s="34">
        <v>12337000</v>
      </c>
      <c r="O880" s="34"/>
      <c r="P880" s="34"/>
      <c r="Q880" s="34"/>
      <c r="R880" s="34"/>
      <c r="S880" s="34">
        <f t="shared" si="275"/>
        <v>12337000</v>
      </c>
      <c r="T880" s="34">
        <v>0</v>
      </c>
      <c r="U880" s="34">
        <v>0</v>
      </c>
      <c r="V880" s="34"/>
      <c r="W880" s="34"/>
      <c r="X880" s="34"/>
      <c r="Y880" s="34"/>
      <c r="Z880" s="34">
        <f t="shared" si="276"/>
        <v>2467400</v>
      </c>
      <c r="AA880" s="34">
        <f>AB880/365*205</f>
        <v>519675</v>
      </c>
      <c r="AB880" s="8">
        <f t="shared" si="277"/>
        <v>925275</v>
      </c>
      <c r="AC880" s="4">
        <f t="shared" si="268"/>
        <v>925275</v>
      </c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</row>
    <row r="881" spans="1:61" s="37" customFormat="1" ht="27.6" customHeight="1" x14ac:dyDescent="0.2">
      <c r="A881" s="9">
        <v>867</v>
      </c>
      <c r="B881" s="58" t="s">
        <v>575</v>
      </c>
      <c r="C881" s="9" t="s">
        <v>473</v>
      </c>
      <c r="D881" s="71">
        <v>149079000</v>
      </c>
      <c r="E881" s="9"/>
      <c r="F881" s="9"/>
      <c r="G881" s="62"/>
      <c r="H881" s="54">
        <v>7.5</v>
      </c>
      <c r="I881" s="34"/>
      <c r="J881" s="34"/>
      <c r="K881" s="34"/>
      <c r="L881" s="34"/>
      <c r="M881" s="34">
        <f t="shared" si="274"/>
        <v>149079000</v>
      </c>
      <c r="N881" s="34">
        <v>149079000</v>
      </c>
      <c r="O881" s="34"/>
      <c r="P881" s="34"/>
      <c r="Q881" s="34"/>
      <c r="R881" s="34"/>
      <c r="S881" s="34">
        <f t="shared" si="275"/>
        <v>149079000</v>
      </c>
      <c r="T881" s="34">
        <v>0</v>
      </c>
      <c r="U881" s="34">
        <v>0</v>
      </c>
      <c r="V881" s="34"/>
      <c r="W881" s="34"/>
      <c r="X881" s="34"/>
      <c r="Y881" s="34"/>
      <c r="Z881" s="34">
        <f t="shared" si="276"/>
        <v>29815800</v>
      </c>
      <c r="AA881" s="34">
        <f>AB881/365*202</f>
        <v>6187799.5890410962</v>
      </c>
      <c r="AB881" s="8">
        <f t="shared" si="277"/>
        <v>11180925</v>
      </c>
      <c r="AC881" s="4">
        <f t="shared" si="268"/>
        <v>11180925</v>
      </c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</row>
    <row r="882" spans="1:61" s="37" customFormat="1" ht="27.6" customHeight="1" x14ac:dyDescent="0.2">
      <c r="A882" s="9">
        <v>868</v>
      </c>
      <c r="B882" s="58" t="s">
        <v>577</v>
      </c>
      <c r="C882" s="9" t="s">
        <v>473</v>
      </c>
      <c r="D882" s="71">
        <v>61581000</v>
      </c>
      <c r="E882" s="9"/>
      <c r="F882" s="9"/>
      <c r="G882" s="62"/>
      <c r="H882" s="54">
        <v>7.5</v>
      </c>
      <c r="I882" s="34"/>
      <c r="J882" s="34"/>
      <c r="K882" s="34"/>
      <c r="L882" s="34"/>
      <c r="M882" s="34">
        <f t="shared" si="274"/>
        <v>61581000</v>
      </c>
      <c r="N882" s="34">
        <v>61581000</v>
      </c>
      <c r="O882" s="34"/>
      <c r="P882" s="34"/>
      <c r="Q882" s="34"/>
      <c r="R882" s="34"/>
      <c r="S882" s="34">
        <f t="shared" si="275"/>
        <v>61581000</v>
      </c>
      <c r="T882" s="34">
        <v>0</v>
      </c>
      <c r="U882" s="34">
        <v>0</v>
      </c>
      <c r="V882" s="34"/>
      <c r="W882" s="34"/>
      <c r="X882" s="34"/>
      <c r="Y882" s="34"/>
      <c r="Z882" s="34">
        <f t="shared" si="276"/>
        <v>12316200</v>
      </c>
      <c r="AA882" s="34">
        <f>AB882/365*190</f>
        <v>2404189.7260273974</v>
      </c>
      <c r="AB882" s="8">
        <f t="shared" si="277"/>
        <v>4618575</v>
      </c>
      <c r="AC882" s="4">
        <f t="shared" si="268"/>
        <v>4618575</v>
      </c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</row>
    <row r="883" spans="1:61" s="37" customFormat="1" ht="27.6" customHeight="1" x14ac:dyDescent="0.2">
      <c r="A883" s="9">
        <v>869</v>
      </c>
      <c r="B883" s="58" t="s">
        <v>579</v>
      </c>
      <c r="C883" s="9" t="s">
        <v>473</v>
      </c>
      <c r="D883" s="71">
        <v>11365000</v>
      </c>
      <c r="E883" s="9"/>
      <c r="F883" s="9"/>
      <c r="G883" s="62"/>
      <c r="H883" s="54">
        <v>7.5</v>
      </c>
      <c r="I883" s="34"/>
      <c r="J883" s="34"/>
      <c r="K883" s="34"/>
      <c r="L883" s="34"/>
      <c r="M883" s="34">
        <f t="shared" si="274"/>
        <v>11365000</v>
      </c>
      <c r="N883" s="34">
        <v>11365000</v>
      </c>
      <c r="O883" s="34"/>
      <c r="P883" s="34"/>
      <c r="Q883" s="34"/>
      <c r="R883" s="34"/>
      <c r="S883" s="34">
        <f t="shared" si="275"/>
        <v>11365000</v>
      </c>
      <c r="T883" s="34">
        <v>0</v>
      </c>
      <c r="U883" s="34">
        <v>0</v>
      </c>
      <c r="V883" s="34"/>
      <c r="W883" s="34"/>
      <c r="X883" s="34"/>
      <c r="Y883" s="34"/>
      <c r="Z883" s="34">
        <f t="shared" si="276"/>
        <v>2273000</v>
      </c>
      <c r="AA883" s="34">
        <f>AB883/365*182</f>
        <v>425019.86301369866</v>
      </c>
      <c r="AB883" s="8">
        <f t="shared" si="277"/>
        <v>852375</v>
      </c>
      <c r="AC883" s="4">
        <f t="shared" si="268"/>
        <v>852375</v>
      </c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</row>
    <row r="884" spans="1:61" s="37" customFormat="1" ht="27.6" customHeight="1" x14ac:dyDescent="0.2">
      <c r="A884" s="9">
        <v>870</v>
      </c>
      <c r="B884" s="58" t="s">
        <v>584</v>
      </c>
      <c r="C884" s="9" t="s">
        <v>473</v>
      </c>
      <c r="D884" s="71">
        <v>43532000</v>
      </c>
      <c r="E884" s="9"/>
      <c r="F884" s="9"/>
      <c r="G884" s="62"/>
      <c r="H884" s="54">
        <v>7.5</v>
      </c>
      <c r="I884" s="34"/>
      <c r="J884" s="34"/>
      <c r="K884" s="34"/>
      <c r="L884" s="34"/>
      <c r="M884" s="34">
        <f t="shared" si="274"/>
        <v>43532000</v>
      </c>
      <c r="N884" s="34">
        <v>43532000</v>
      </c>
      <c r="O884" s="34"/>
      <c r="P884" s="34"/>
      <c r="Q884" s="34"/>
      <c r="R884" s="34"/>
      <c r="S884" s="34">
        <f t="shared" si="275"/>
        <v>43532000</v>
      </c>
      <c r="T884" s="34">
        <v>0</v>
      </c>
      <c r="U884" s="34">
        <v>0</v>
      </c>
      <c r="V884" s="34"/>
      <c r="W884" s="34"/>
      <c r="X884" s="34"/>
      <c r="Y884" s="34"/>
      <c r="Z884" s="34">
        <f t="shared" si="276"/>
        <v>8706400</v>
      </c>
      <c r="AA884" s="34">
        <f>AB884/365*138</f>
        <v>1234400.5479452054</v>
      </c>
      <c r="AB884" s="8">
        <f t="shared" si="277"/>
        <v>3264900</v>
      </c>
      <c r="AC884" s="4">
        <f t="shared" si="268"/>
        <v>3264900</v>
      </c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</row>
    <row r="885" spans="1:61" s="37" customFormat="1" ht="27.6" customHeight="1" x14ac:dyDescent="0.2">
      <c r="A885" s="9">
        <v>871</v>
      </c>
      <c r="B885" s="58" t="s">
        <v>584</v>
      </c>
      <c r="C885" s="9" t="s">
        <v>473</v>
      </c>
      <c r="D885" s="71">
        <v>12227000</v>
      </c>
      <c r="E885" s="9"/>
      <c r="F885" s="9"/>
      <c r="G885" s="62"/>
      <c r="H885" s="54">
        <v>7.5</v>
      </c>
      <c r="I885" s="34"/>
      <c r="J885" s="34"/>
      <c r="K885" s="34"/>
      <c r="L885" s="34"/>
      <c r="M885" s="34">
        <f t="shared" si="274"/>
        <v>12227000</v>
      </c>
      <c r="N885" s="34">
        <v>12227000</v>
      </c>
      <c r="O885" s="34"/>
      <c r="P885" s="34"/>
      <c r="Q885" s="34"/>
      <c r="R885" s="34"/>
      <c r="S885" s="34">
        <f t="shared" si="275"/>
        <v>12227000</v>
      </c>
      <c r="T885" s="34">
        <v>0</v>
      </c>
      <c r="U885" s="34">
        <v>0</v>
      </c>
      <c r="V885" s="34"/>
      <c r="W885" s="34"/>
      <c r="X885" s="34"/>
      <c r="Y885" s="34"/>
      <c r="Z885" s="34">
        <f t="shared" si="276"/>
        <v>2445400</v>
      </c>
      <c r="AA885" s="34">
        <f>AB885/365*138</f>
        <v>346710.82191780827</v>
      </c>
      <c r="AB885" s="8">
        <f t="shared" si="277"/>
        <v>917025</v>
      </c>
      <c r="AC885" s="4">
        <f t="shared" si="268"/>
        <v>917025</v>
      </c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</row>
    <row r="886" spans="1:61" s="37" customFormat="1" ht="27.6" customHeight="1" x14ac:dyDescent="0.2">
      <c r="A886" s="9">
        <v>872</v>
      </c>
      <c r="B886" s="58" t="s">
        <v>585</v>
      </c>
      <c r="C886" s="9" t="s">
        <v>473</v>
      </c>
      <c r="D886" s="71">
        <v>52644000</v>
      </c>
      <c r="E886" s="9"/>
      <c r="F886" s="9"/>
      <c r="G886" s="62"/>
      <c r="H886" s="54">
        <v>7.5</v>
      </c>
      <c r="I886" s="34"/>
      <c r="J886" s="34"/>
      <c r="K886" s="34"/>
      <c r="L886" s="34"/>
      <c r="M886" s="34">
        <f t="shared" si="274"/>
        <v>52644000</v>
      </c>
      <c r="N886" s="34">
        <v>52644000</v>
      </c>
      <c r="O886" s="34"/>
      <c r="P886" s="34"/>
      <c r="Q886" s="34"/>
      <c r="R886" s="34"/>
      <c r="S886" s="34">
        <f t="shared" si="275"/>
        <v>52644000</v>
      </c>
      <c r="T886" s="34">
        <v>0</v>
      </c>
      <c r="U886" s="34">
        <v>0</v>
      </c>
      <c r="V886" s="34"/>
      <c r="W886" s="34"/>
      <c r="X886" s="34"/>
      <c r="Y886" s="34"/>
      <c r="Z886" s="34">
        <f t="shared" si="276"/>
        <v>10528800</v>
      </c>
      <c r="AA886" s="34">
        <f>AB886/365*132</f>
        <v>1427878.3561643835</v>
      </c>
      <c r="AB886" s="8">
        <f t="shared" si="277"/>
        <v>3948300</v>
      </c>
      <c r="AC886" s="4">
        <f t="shared" si="268"/>
        <v>3948300</v>
      </c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</row>
    <row r="887" spans="1:61" s="37" customFormat="1" ht="27.6" customHeight="1" x14ac:dyDescent="0.2">
      <c r="A887" s="9">
        <v>873</v>
      </c>
      <c r="B887" s="58" t="s">
        <v>585</v>
      </c>
      <c r="C887" s="9" t="s">
        <v>473</v>
      </c>
      <c r="D887" s="71">
        <v>106396000</v>
      </c>
      <c r="E887" s="9"/>
      <c r="F887" s="9"/>
      <c r="G887" s="62"/>
      <c r="H887" s="54">
        <v>7.5</v>
      </c>
      <c r="I887" s="34"/>
      <c r="J887" s="34"/>
      <c r="K887" s="34"/>
      <c r="L887" s="34"/>
      <c r="M887" s="34">
        <f t="shared" si="274"/>
        <v>106396000</v>
      </c>
      <c r="N887" s="34">
        <v>106396000</v>
      </c>
      <c r="O887" s="34"/>
      <c r="P887" s="34"/>
      <c r="Q887" s="34"/>
      <c r="R887" s="34"/>
      <c r="S887" s="34">
        <f t="shared" si="275"/>
        <v>106396000</v>
      </c>
      <c r="T887" s="34">
        <v>0</v>
      </c>
      <c r="U887" s="34">
        <v>0</v>
      </c>
      <c r="V887" s="34"/>
      <c r="W887" s="34"/>
      <c r="X887" s="34"/>
      <c r="Y887" s="34"/>
      <c r="Z887" s="34">
        <f t="shared" si="276"/>
        <v>21279200</v>
      </c>
      <c r="AA887" s="34">
        <f>AB887/365*132</f>
        <v>2885809.3150684931</v>
      </c>
      <c r="AB887" s="8">
        <f t="shared" si="277"/>
        <v>7979700</v>
      </c>
      <c r="AC887" s="4">
        <f t="shared" si="268"/>
        <v>7979700</v>
      </c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</row>
    <row r="888" spans="1:61" s="37" customFormat="1" ht="27.6" customHeight="1" x14ac:dyDescent="0.2">
      <c r="A888" s="9">
        <v>874</v>
      </c>
      <c r="B888" s="58" t="s">
        <v>587</v>
      </c>
      <c r="C888" s="9" t="s">
        <v>473</v>
      </c>
      <c r="D888" s="71">
        <v>654000</v>
      </c>
      <c r="E888" s="9"/>
      <c r="F888" s="9"/>
      <c r="G888" s="62"/>
      <c r="H888" s="54">
        <v>7.5</v>
      </c>
      <c r="I888" s="34"/>
      <c r="J888" s="34"/>
      <c r="K888" s="34"/>
      <c r="L888" s="34"/>
      <c r="M888" s="34">
        <f t="shared" si="274"/>
        <v>654000</v>
      </c>
      <c r="N888" s="34">
        <v>654000</v>
      </c>
      <c r="O888" s="34"/>
      <c r="P888" s="34"/>
      <c r="Q888" s="34"/>
      <c r="R888" s="34"/>
      <c r="S888" s="34">
        <f t="shared" si="275"/>
        <v>654000</v>
      </c>
      <c r="T888" s="34">
        <v>0</v>
      </c>
      <c r="U888" s="34">
        <v>0</v>
      </c>
      <c r="V888" s="34"/>
      <c r="W888" s="34"/>
      <c r="X888" s="34"/>
      <c r="Y888" s="34"/>
      <c r="Z888" s="34">
        <f t="shared" si="276"/>
        <v>130800</v>
      </c>
      <c r="AA888" s="34">
        <f>AB888/365*111</f>
        <v>14916.575342465752</v>
      </c>
      <c r="AB888" s="8">
        <f t="shared" si="277"/>
        <v>49050</v>
      </c>
      <c r="AC888" s="4">
        <f t="shared" si="268"/>
        <v>49050</v>
      </c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</row>
    <row r="889" spans="1:61" s="37" customFormat="1" ht="27.6" customHeight="1" x14ac:dyDescent="0.2">
      <c r="A889" s="9">
        <v>875</v>
      </c>
      <c r="B889" s="58" t="s">
        <v>587</v>
      </c>
      <c r="C889" s="9" t="s">
        <v>473</v>
      </c>
      <c r="D889" s="71">
        <v>2392000</v>
      </c>
      <c r="E889" s="9"/>
      <c r="F889" s="9"/>
      <c r="G889" s="62"/>
      <c r="H889" s="54">
        <v>7.5</v>
      </c>
      <c r="I889" s="34"/>
      <c r="J889" s="34"/>
      <c r="K889" s="34"/>
      <c r="L889" s="34"/>
      <c r="M889" s="34">
        <f t="shared" si="274"/>
        <v>2392000</v>
      </c>
      <c r="N889" s="34">
        <v>2392000</v>
      </c>
      <c r="O889" s="34"/>
      <c r="P889" s="34"/>
      <c r="Q889" s="34"/>
      <c r="R889" s="34"/>
      <c r="S889" s="34">
        <f t="shared" si="275"/>
        <v>2392000</v>
      </c>
      <c r="T889" s="34">
        <v>0</v>
      </c>
      <c r="U889" s="34">
        <v>0</v>
      </c>
      <c r="V889" s="34"/>
      <c r="W889" s="34"/>
      <c r="X889" s="34"/>
      <c r="Y889" s="34"/>
      <c r="Z889" s="34">
        <f t="shared" si="276"/>
        <v>478400</v>
      </c>
      <c r="AA889" s="34">
        <f>AB889/365*111</f>
        <v>54557.260273972606</v>
      </c>
      <c r="AB889" s="8">
        <f t="shared" si="277"/>
        <v>179400</v>
      </c>
      <c r="AC889" s="4">
        <f t="shared" si="268"/>
        <v>179400</v>
      </c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</row>
    <row r="890" spans="1:61" s="37" customFormat="1" ht="27.6" customHeight="1" x14ac:dyDescent="0.2">
      <c r="A890" s="9">
        <v>876</v>
      </c>
      <c r="B890" s="58" t="s">
        <v>587</v>
      </c>
      <c r="C890" s="9" t="s">
        <v>473</v>
      </c>
      <c r="D890" s="71">
        <v>9000000</v>
      </c>
      <c r="E890" s="9"/>
      <c r="F890" s="9"/>
      <c r="G890" s="62"/>
      <c r="H890" s="54">
        <v>7.5</v>
      </c>
      <c r="I890" s="34"/>
      <c r="J890" s="34"/>
      <c r="K890" s="34"/>
      <c r="L890" s="34"/>
      <c r="M890" s="34">
        <f t="shared" si="274"/>
        <v>9000000</v>
      </c>
      <c r="N890" s="34">
        <v>9000000</v>
      </c>
      <c r="O890" s="34"/>
      <c r="P890" s="34"/>
      <c r="Q890" s="34"/>
      <c r="R890" s="34"/>
      <c r="S890" s="34">
        <f t="shared" si="275"/>
        <v>9000000</v>
      </c>
      <c r="T890" s="34">
        <v>0</v>
      </c>
      <c r="U890" s="34">
        <v>0</v>
      </c>
      <c r="V890" s="34"/>
      <c r="W890" s="34"/>
      <c r="X890" s="34"/>
      <c r="Y890" s="34"/>
      <c r="Z890" s="34">
        <f t="shared" si="276"/>
        <v>1800000</v>
      </c>
      <c r="AA890" s="34">
        <f>AB890/365*111</f>
        <v>205273.97260273973</v>
      </c>
      <c r="AB890" s="8">
        <f t="shared" si="277"/>
        <v>675000</v>
      </c>
      <c r="AC890" s="4">
        <f t="shared" si="268"/>
        <v>675000</v>
      </c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</row>
    <row r="891" spans="1:61" s="37" customFormat="1" ht="27.6" customHeight="1" x14ac:dyDescent="0.2">
      <c r="A891" s="9">
        <v>877</v>
      </c>
      <c r="B891" s="58" t="s">
        <v>590</v>
      </c>
      <c r="C891" s="9" t="s">
        <v>473</v>
      </c>
      <c r="D891" s="71">
        <v>19840000</v>
      </c>
      <c r="E891" s="9"/>
      <c r="F891" s="9"/>
      <c r="G891" s="62"/>
      <c r="H891" s="54">
        <v>7.5</v>
      </c>
      <c r="I891" s="34"/>
      <c r="J891" s="34"/>
      <c r="K891" s="34"/>
      <c r="L891" s="34"/>
      <c r="M891" s="34">
        <f t="shared" si="274"/>
        <v>19840000</v>
      </c>
      <c r="N891" s="34">
        <v>19840000</v>
      </c>
      <c r="O891" s="34"/>
      <c r="P891" s="34"/>
      <c r="Q891" s="34"/>
      <c r="R891" s="34"/>
      <c r="S891" s="34">
        <f t="shared" si="275"/>
        <v>19840000</v>
      </c>
      <c r="T891" s="34">
        <v>0</v>
      </c>
      <c r="U891" s="34">
        <v>0</v>
      </c>
      <c r="V891" s="34"/>
      <c r="W891" s="34"/>
      <c r="X891" s="34"/>
      <c r="Y891" s="34"/>
      <c r="Z891" s="34">
        <f t="shared" si="276"/>
        <v>3968000</v>
      </c>
      <c r="AA891" s="34">
        <f>AB891/365*100</f>
        <v>407671.23287671234</v>
      </c>
      <c r="AB891" s="8">
        <f t="shared" si="277"/>
        <v>1488000</v>
      </c>
      <c r="AC891" s="4">
        <f t="shared" si="268"/>
        <v>1488000</v>
      </c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</row>
    <row r="892" spans="1:61" s="37" customFormat="1" ht="27.6" customHeight="1" x14ac:dyDescent="0.2">
      <c r="A892" s="9">
        <v>878</v>
      </c>
      <c r="B892" s="58" t="s">
        <v>591</v>
      </c>
      <c r="C892" s="9" t="s">
        <v>473</v>
      </c>
      <c r="D892" s="71">
        <v>9192000</v>
      </c>
      <c r="E892" s="9"/>
      <c r="F892" s="9"/>
      <c r="G892" s="62"/>
      <c r="H892" s="54">
        <v>7.5</v>
      </c>
      <c r="I892" s="34"/>
      <c r="J892" s="34"/>
      <c r="K892" s="34"/>
      <c r="L892" s="34"/>
      <c r="M892" s="34">
        <f t="shared" si="274"/>
        <v>9192000</v>
      </c>
      <c r="N892" s="34">
        <v>9192000</v>
      </c>
      <c r="O892" s="34"/>
      <c r="P892" s="34"/>
      <c r="Q892" s="34"/>
      <c r="R892" s="34"/>
      <c r="S892" s="34">
        <f t="shared" si="275"/>
        <v>9192000</v>
      </c>
      <c r="T892" s="34">
        <v>0</v>
      </c>
      <c r="U892" s="34">
        <v>0</v>
      </c>
      <c r="V892" s="34"/>
      <c r="W892" s="34"/>
      <c r="X892" s="34"/>
      <c r="Y892" s="34"/>
      <c r="Z892" s="34">
        <f t="shared" si="276"/>
        <v>1838400</v>
      </c>
      <c r="AA892" s="34">
        <f>AB892/365*89</f>
        <v>168100.27397260274</v>
      </c>
      <c r="AB892" s="8">
        <f t="shared" si="277"/>
        <v>689400</v>
      </c>
      <c r="AC892" s="4">
        <f t="shared" si="268"/>
        <v>689400</v>
      </c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</row>
    <row r="893" spans="1:61" s="37" customFormat="1" ht="27.6" customHeight="1" x14ac:dyDescent="0.2">
      <c r="A893" s="9">
        <v>879</v>
      </c>
      <c r="B893" s="58" t="s">
        <v>591</v>
      </c>
      <c r="C893" s="9" t="s">
        <v>473</v>
      </c>
      <c r="D893" s="71">
        <v>6188000</v>
      </c>
      <c r="E893" s="9"/>
      <c r="F893" s="9"/>
      <c r="G893" s="62"/>
      <c r="H893" s="54">
        <v>7.5</v>
      </c>
      <c r="I893" s="34"/>
      <c r="J893" s="34"/>
      <c r="K893" s="34"/>
      <c r="L893" s="34"/>
      <c r="M893" s="34">
        <f t="shared" si="274"/>
        <v>6188000</v>
      </c>
      <c r="N893" s="34">
        <v>6188000</v>
      </c>
      <c r="O893" s="34"/>
      <c r="P893" s="34"/>
      <c r="Q893" s="34"/>
      <c r="R893" s="34"/>
      <c r="S893" s="34">
        <f t="shared" si="275"/>
        <v>6188000</v>
      </c>
      <c r="T893" s="34">
        <v>0</v>
      </c>
      <c r="U893" s="34">
        <v>0</v>
      </c>
      <c r="V893" s="34"/>
      <c r="W893" s="34"/>
      <c r="X893" s="34"/>
      <c r="Y893" s="34"/>
      <c r="Z893" s="34">
        <f t="shared" si="276"/>
        <v>1237600</v>
      </c>
      <c r="AA893" s="34">
        <f>AB893/365*89</f>
        <v>113164.10958904109</v>
      </c>
      <c r="AB893" s="8">
        <f t="shared" si="277"/>
        <v>464100</v>
      </c>
      <c r="AC893" s="4">
        <f t="shared" si="268"/>
        <v>464100</v>
      </c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</row>
    <row r="894" spans="1:61" s="37" customFormat="1" ht="27.6" customHeight="1" x14ac:dyDescent="0.2">
      <c r="A894" s="9">
        <v>880</v>
      </c>
      <c r="B894" s="58" t="s">
        <v>594</v>
      </c>
      <c r="C894" s="9" t="s">
        <v>473</v>
      </c>
      <c r="D894" s="71">
        <v>66868000</v>
      </c>
      <c r="E894" s="9"/>
      <c r="F894" s="9"/>
      <c r="G894" s="62"/>
      <c r="H894" s="54">
        <v>7.5</v>
      </c>
      <c r="I894" s="34"/>
      <c r="J894" s="34"/>
      <c r="K894" s="34"/>
      <c r="L894" s="34"/>
      <c r="M894" s="34">
        <f t="shared" si="274"/>
        <v>66868000</v>
      </c>
      <c r="N894" s="34">
        <v>66868000</v>
      </c>
      <c r="O894" s="34"/>
      <c r="P894" s="34"/>
      <c r="Q894" s="34"/>
      <c r="R894" s="34"/>
      <c r="S894" s="34">
        <f t="shared" si="275"/>
        <v>66868000</v>
      </c>
      <c r="T894" s="34">
        <v>0</v>
      </c>
      <c r="U894" s="34">
        <v>0</v>
      </c>
      <c r="V894" s="34"/>
      <c r="W894" s="34"/>
      <c r="X894" s="34"/>
      <c r="Y894" s="34"/>
      <c r="Z894" s="34">
        <f t="shared" si="276"/>
        <v>13373600</v>
      </c>
      <c r="AA894" s="34">
        <f>AB894/365*71</f>
        <v>975540</v>
      </c>
      <c r="AB894" s="8">
        <f t="shared" si="277"/>
        <v>5015100</v>
      </c>
      <c r="AC894" s="4">
        <f t="shared" si="268"/>
        <v>5015100</v>
      </c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</row>
    <row r="895" spans="1:61" s="37" customFormat="1" ht="27.6" customHeight="1" x14ac:dyDescent="0.2">
      <c r="A895" s="9">
        <v>881</v>
      </c>
      <c r="B895" s="58" t="s">
        <v>594</v>
      </c>
      <c r="C895" s="9" t="s">
        <v>473</v>
      </c>
      <c r="D895" s="71">
        <v>154624000</v>
      </c>
      <c r="E895" s="9"/>
      <c r="F895" s="9"/>
      <c r="G895" s="62"/>
      <c r="H895" s="54">
        <v>7.5</v>
      </c>
      <c r="I895" s="34"/>
      <c r="J895" s="34"/>
      <c r="K895" s="34"/>
      <c r="L895" s="34"/>
      <c r="M895" s="34">
        <f t="shared" si="274"/>
        <v>154624000</v>
      </c>
      <c r="N895" s="34">
        <v>154624000</v>
      </c>
      <c r="O895" s="34"/>
      <c r="P895" s="34"/>
      <c r="Q895" s="34"/>
      <c r="R895" s="34"/>
      <c r="S895" s="34">
        <f t="shared" si="275"/>
        <v>154624000</v>
      </c>
      <c r="T895" s="34">
        <v>0</v>
      </c>
      <c r="U895" s="34">
        <v>0</v>
      </c>
      <c r="V895" s="34"/>
      <c r="W895" s="34"/>
      <c r="X895" s="34"/>
      <c r="Y895" s="34"/>
      <c r="Z895" s="34">
        <f t="shared" si="276"/>
        <v>30924800</v>
      </c>
      <c r="AA895" s="34">
        <f>AB895/365*71</f>
        <v>2255815.8904109588</v>
      </c>
      <c r="AB895" s="8">
        <f t="shared" si="277"/>
        <v>11596800</v>
      </c>
      <c r="AC895" s="4">
        <f t="shared" si="268"/>
        <v>11596800</v>
      </c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</row>
    <row r="896" spans="1:61" s="37" customFormat="1" ht="27.6" customHeight="1" x14ac:dyDescent="0.2">
      <c r="A896" s="9">
        <v>882</v>
      </c>
      <c r="B896" s="58" t="s">
        <v>595</v>
      </c>
      <c r="C896" s="9" t="s">
        <v>473</v>
      </c>
      <c r="D896" s="71">
        <v>40064000</v>
      </c>
      <c r="E896" s="9"/>
      <c r="F896" s="9"/>
      <c r="G896" s="62"/>
      <c r="H896" s="54">
        <v>7.5</v>
      </c>
      <c r="I896" s="34"/>
      <c r="J896" s="34"/>
      <c r="K896" s="34"/>
      <c r="L896" s="34"/>
      <c r="M896" s="34">
        <f t="shared" si="274"/>
        <v>40064000</v>
      </c>
      <c r="N896" s="34">
        <v>40064000</v>
      </c>
      <c r="O896" s="34"/>
      <c r="P896" s="34"/>
      <c r="Q896" s="34"/>
      <c r="R896" s="34"/>
      <c r="S896" s="34">
        <f t="shared" si="275"/>
        <v>40064000</v>
      </c>
      <c r="T896" s="34">
        <v>0</v>
      </c>
      <c r="U896" s="34">
        <v>0</v>
      </c>
      <c r="V896" s="34"/>
      <c r="W896" s="34"/>
      <c r="X896" s="34"/>
      <c r="Y896" s="34"/>
      <c r="Z896" s="34">
        <f t="shared" si="276"/>
        <v>8012800</v>
      </c>
      <c r="AA896" s="34">
        <f>AB896/365*65</f>
        <v>535101.36986301374</v>
      </c>
      <c r="AB896" s="8">
        <f t="shared" si="277"/>
        <v>3004800</v>
      </c>
      <c r="AC896" s="4">
        <f t="shared" si="268"/>
        <v>3004800</v>
      </c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</row>
    <row r="897" spans="1:61" s="37" customFormat="1" ht="27.6" customHeight="1" x14ac:dyDescent="0.2">
      <c r="A897" s="9">
        <v>883</v>
      </c>
      <c r="B897" s="58" t="s">
        <v>595</v>
      </c>
      <c r="C897" s="9" t="s">
        <v>473</v>
      </c>
      <c r="D897" s="71">
        <v>58853000</v>
      </c>
      <c r="E897" s="9"/>
      <c r="F897" s="9"/>
      <c r="G897" s="62"/>
      <c r="H897" s="54">
        <v>7.5</v>
      </c>
      <c r="I897" s="34"/>
      <c r="J897" s="34"/>
      <c r="K897" s="34"/>
      <c r="L897" s="34"/>
      <c r="M897" s="34">
        <f t="shared" si="274"/>
        <v>58853000</v>
      </c>
      <c r="N897" s="34">
        <v>58853000</v>
      </c>
      <c r="O897" s="34"/>
      <c r="P897" s="34"/>
      <c r="Q897" s="34"/>
      <c r="R897" s="34"/>
      <c r="S897" s="34">
        <f t="shared" si="275"/>
        <v>58853000</v>
      </c>
      <c r="T897" s="34">
        <v>0</v>
      </c>
      <c r="U897" s="34">
        <v>0</v>
      </c>
      <c r="V897" s="34"/>
      <c r="W897" s="34"/>
      <c r="X897" s="34"/>
      <c r="Y897" s="34"/>
      <c r="Z897" s="34">
        <f t="shared" si="276"/>
        <v>11770600</v>
      </c>
      <c r="AA897" s="34">
        <f>AB897/365*65</f>
        <v>786050.34246575343</v>
      </c>
      <c r="AB897" s="8">
        <f t="shared" si="277"/>
        <v>4413975</v>
      </c>
      <c r="AC897" s="4">
        <f t="shared" si="268"/>
        <v>4413975</v>
      </c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</row>
    <row r="898" spans="1:61" s="37" customFormat="1" ht="27.6" customHeight="1" x14ac:dyDescent="0.2">
      <c r="A898" s="9">
        <v>884</v>
      </c>
      <c r="B898" s="58" t="s">
        <v>595</v>
      </c>
      <c r="C898" s="9" t="s">
        <v>473</v>
      </c>
      <c r="D898" s="71">
        <v>8117000</v>
      </c>
      <c r="E898" s="9"/>
      <c r="F898" s="9"/>
      <c r="G898" s="62"/>
      <c r="H898" s="54">
        <v>7.5</v>
      </c>
      <c r="I898" s="34"/>
      <c r="J898" s="34"/>
      <c r="K898" s="34"/>
      <c r="L898" s="34"/>
      <c r="M898" s="34">
        <f t="shared" si="274"/>
        <v>8117000</v>
      </c>
      <c r="N898" s="34">
        <v>8117000</v>
      </c>
      <c r="O898" s="34"/>
      <c r="P898" s="34"/>
      <c r="Q898" s="34"/>
      <c r="R898" s="34"/>
      <c r="S898" s="34">
        <f t="shared" si="275"/>
        <v>8117000</v>
      </c>
      <c r="T898" s="34">
        <v>0</v>
      </c>
      <c r="U898" s="34">
        <v>0</v>
      </c>
      <c r="V898" s="34"/>
      <c r="W898" s="34"/>
      <c r="X898" s="34"/>
      <c r="Y898" s="34"/>
      <c r="Z898" s="34">
        <f t="shared" si="276"/>
        <v>1623400</v>
      </c>
      <c r="AA898" s="34">
        <f>AB898/365*65</f>
        <v>108411.98630136986</v>
      </c>
      <c r="AB898" s="8">
        <f t="shared" si="277"/>
        <v>608775</v>
      </c>
      <c r="AC898" s="4">
        <f t="shared" si="268"/>
        <v>608775</v>
      </c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</row>
    <row r="899" spans="1:61" s="37" customFormat="1" ht="27.6" customHeight="1" x14ac:dyDescent="0.2">
      <c r="A899" s="9">
        <v>885</v>
      </c>
      <c r="B899" s="58" t="s">
        <v>595</v>
      </c>
      <c r="C899" s="9" t="s">
        <v>473</v>
      </c>
      <c r="D899" s="71">
        <v>9515000</v>
      </c>
      <c r="E899" s="9"/>
      <c r="F899" s="9"/>
      <c r="G899" s="62"/>
      <c r="H899" s="54">
        <v>7.5</v>
      </c>
      <c r="I899" s="34"/>
      <c r="J899" s="34"/>
      <c r="K899" s="34"/>
      <c r="L899" s="34"/>
      <c r="M899" s="34">
        <f t="shared" si="274"/>
        <v>9515000</v>
      </c>
      <c r="N899" s="34">
        <v>9515000</v>
      </c>
      <c r="O899" s="34"/>
      <c r="P899" s="34"/>
      <c r="Q899" s="34"/>
      <c r="R899" s="34"/>
      <c r="S899" s="34">
        <f t="shared" si="275"/>
        <v>9515000</v>
      </c>
      <c r="T899" s="34">
        <v>0</v>
      </c>
      <c r="U899" s="34">
        <v>0</v>
      </c>
      <c r="V899" s="34"/>
      <c r="W899" s="34"/>
      <c r="X899" s="34"/>
      <c r="Y899" s="34"/>
      <c r="Z899" s="34">
        <f t="shared" si="276"/>
        <v>1903000</v>
      </c>
      <c r="AA899" s="34">
        <f>AB899/365*65</f>
        <v>127083.90410958904</v>
      </c>
      <c r="AB899" s="8">
        <f t="shared" si="277"/>
        <v>713625</v>
      </c>
      <c r="AC899" s="4">
        <f t="shared" si="268"/>
        <v>713625</v>
      </c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</row>
    <row r="900" spans="1:61" s="37" customFormat="1" ht="27.6" customHeight="1" x14ac:dyDescent="0.2">
      <c r="A900" s="9">
        <v>886</v>
      </c>
      <c r="B900" s="58" t="s">
        <v>631</v>
      </c>
      <c r="C900" s="9" t="s">
        <v>473</v>
      </c>
      <c r="D900" s="71">
        <v>97706000</v>
      </c>
      <c r="E900" s="9"/>
      <c r="F900" s="9"/>
      <c r="G900" s="62"/>
      <c r="H900" s="54">
        <v>7.25</v>
      </c>
      <c r="I900" s="34"/>
      <c r="J900" s="34"/>
      <c r="K900" s="34"/>
      <c r="L900" s="34"/>
      <c r="M900" s="34">
        <f t="shared" si="274"/>
        <v>97706000</v>
      </c>
      <c r="N900" s="34">
        <v>97706000</v>
      </c>
      <c r="O900" s="34"/>
      <c r="P900" s="34"/>
      <c r="Q900" s="34"/>
      <c r="R900" s="34"/>
      <c r="S900" s="34">
        <f t="shared" si="275"/>
        <v>97706000</v>
      </c>
      <c r="T900" s="34">
        <v>0</v>
      </c>
      <c r="U900" s="34">
        <v>0</v>
      </c>
      <c r="V900" s="34"/>
      <c r="W900" s="34"/>
      <c r="X900" s="34"/>
      <c r="Y900" s="34"/>
      <c r="Z900" s="34">
        <f t="shared" si="276"/>
        <v>19541200</v>
      </c>
      <c r="AA900" s="34">
        <f>AB900/365*47</f>
        <v>912145.73972602736</v>
      </c>
      <c r="AB900" s="8">
        <f>N900*7.25/100</f>
        <v>7083685</v>
      </c>
      <c r="AC900" s="4">
        <f t="shared" si="268"/>
        <v>7083684.9999999991</v>
      </c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</row>
    <row r="901" spans="1:61" s="37" customFormat="1" ht="27.6" customHeight="1" x14ac:dyDescent="0.2">
      <c r="A901" s="9">
        <v>887</v>
      </c>
      <c r="B901" s="58" t="s">
        <v>630</v>
      </c>
      <c r="C901" s="9" t="s">
        <v>473</v>
      </c>
      <c r="D901" s="71">
        <v>59629000</v>
      </c>
      <c r="E901" s="9"/>
      <c r="F901" s="9"/>
      <c r="G901" s="62"/>
      <c r="H901" s="54">
        <v>7.25</v>
      </c>
      <c r="I901" s="34"/>
      <c r="J901" s="34"/>
      <c r="K901" s="34"/>
      <c r="L901" s="34"/>
      <c r="M901" s="34">
        <f t="shared" si="274"/>
        <v>59629000</v>
      </c>
      <c r="N901" s="34">
        <v>59629000</v>
      </c>
      <c r="O901" s="34"/>
      <c r="P901" s="34"/>
      <c r="Q901" s="34"/>
      <c r="R901" s="34"/>
      <c r="S901" s="34">
        <f t="shared" si="275"/>
        <v>59629000</v>
      </c>
      <c r="T901" s="34">
        <v>0</v>
      </c>
      <c r="U901" s="34">
        <v>0</v>
      </c>
      <c r="V901" s="34"/>
      <c r="W901" s="34"/>
      <c r="X901" s="34"/>
      <c r="Y901" s="34"/>
      <c r="Z901" s="34">
        <f t="shared" si="276"/>
        <v>11925800</v>
      </c>
      <c r="AA901" s="34">
        <f>AB901/365*20</f>
        <v>236882.32876712328</v>
      </c>
      <c r="AB901" s="8">
        <f>N901*7.25/100</f>
        <v>4323102.5</v>
      </c>
      <c r="AC901" s="4">
        <f t="shared" si="268"/>
        <v>4323102.5</v>
      </c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</row>
    <row r="902" spans="1:61" s="37" customFormat="1" ht="27.6" customHeight="1" x14ac:dyDescent="0.2">
      <c r="A902" s="9">
        <v>888</v>
      </c>
      <c r="B902" s="58" t="s">
        <v>606</v>
      </c>
      <c r="C902" s="9" t="s">
        <v>473</v>
      </c>
      <c r="D902" s="71">
        <v>15343000</v>
      </c>
      <c r="E902" s="9"/>
      <c r="F902" s="9"/>
      <c r="G902" s="62"/>
      <c r="H902" s="54">
        <v>7</v>
      </c>
      <c r="I902" s="34"/>
      <c r="J902" s="34"/>
      <c r="K902" s="34"/>
      <c r="L902" s="34"/>
      <c r="M902" s="34">
        <f t="shared" si="274"/>
        <v>15343000</v>
      </c>
      <c r="N902" s="34">
        <v>15343000</v>
      </c>
      <c r="O902" s="34"/>
      <c r="P902" s="34"/>
      <c r="Q902" s="34"/>
      <c r="R902" s="34"/>
      <c r="S902" s="34">
        <f t="shared" si="275"/>
        <v>15343000</v>
      </c>
      <c r="T902" s="34">
        <v>0</v>
      </c>
      <c r="U902" s="34">
        <v>0</v>
      </c>
      <c r="V902" s="34"/>
      <c r="W902" s="34"/>
      <c r="X902" s="34"/>
      <c r="Y902" s="34"/>
      <c r="Z902" s="34">
        <f t="shared" si="276"/>
        <v>3068600</v>
      </c>
      <c r="AA902" s="34">
        <f>AB902/365*12</f>
        <v>35309.917808219179</v>
      </c>
      <c r="AB902" s="8">
        <f>N902*7/100</f>
        <v>1074010</v>
      </c>
      <c r="AC902" s="4">
        <f t="shared" si="268"/>
        <v>1074010</v>
      </c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</row>
    <row r="903" spans="1:61" s="37" customFormat="1" ht="27.6" customHeight="1" x14ac:dyDescent="0.2">
      <c r="A903" s="9">
        <v>889</v>
      </c>
      <c r="B903" s="58" t="s">
        <v>634</v>
      </c>
      <c r="C903" s="9" t="s">
        <v>473</v>
      </c>
      <c r="D903" s="71">
        <v>8366000</v>
      </c>
      <c r="E903" s="9"/>
      <c r="F903" s="9"/>
      <c r="G903" s="62"/>
      <c r="H903" s="54">
        <v>7</v>
      </c>
      <c r="I903" s="34"/>
      <c r="J903" s="34"/>
      <c r="K903" s="34"/>
      <c r="L903" s="34"/>
      <c r="M903" s="34">
        <f t="shared" si="274"/>
        <v>8366000</v>
      </c>
      <c r="N903" s="34">
        <f>D903</f>
        <v>8366000</v>
      </c>
      <c r="O903" s="34"/>
      <c r="P903" s="34"/>
      <c r="Q903" s="34"/>
      <c r="R903" s="34"/>
      <c r="S903" s="34">
        <f t="shared" si="275"/>
        <v>8366000</v>
      </c>
      <c r="T903" s="34">
        <v>0</v>
      </c>
      <c r="U903" s="34">
        <v>0</v>
      </c>
      <c r="V903" s="34"/>
      <c r="W903" s="34"/>
      <c r="X903" s="34"/>
      <c r="Y903" s="34"/>
      <c r="Z903" s="34">
        <f t="shared" si="276"/>
        <v>1673200</v>
      </c>
      <c r="AA903" s="34">
        <f t="shared" ref="AA903:AA908" si="278">AB903/365*11</f>
        <v>17648.821917808218</v>
      </c>
      <c r="AB903" s="8">
        <f>N903*7/100</f>
        <v>585620</v>
      </c>
      <c r="AC903" s="4">
        <f t="shared" si="268"/>
        <v>585620</v>
      </c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</row>
    <row r="904" spans="1:61" s="37" customFormat="1" ht="27.6" customHeight="1" x14ac:dyDescent="0.2">
      <c r="A904" s="9">
        <v>890</v>
      </c>
      <c r="B904" s="58" t="s">
        <v>634</v>
      </c>
      <c r="C904" s="9" t="s">
        <v>473</v>
      </c>
      <c r="D904" s="71">
        <v>16624000</v>
      </c>
      <c r="E904" s="9"/>
      <c r="F904" s="9"/>
      <c r="G904" s="62"/>
      <c r="H904" s="54">
        <v>7</v>
      </c>
      <c r="I904" s="34"/>
      <c r="J904" s="34"/>
      <c r="K904" s="34"/>
      <c r="L904" s="34"/>
      <c r="M904" s="34">
        <f t="shared" si="274"/>
        <v>16624000</v>
      </c>
      <c r="N904" s="34">
        <f t="shared" ref="N904:N911" si="279">D904</f>
        <v>16624000</v>
      </c>
      <c r="O904" s="34"/>
      <c r="P904" s="34"/>
      <c r="Q904" s="34"/>
      <c r="R904" s="34"/>
      <c r="S904" s="34">
        <f t="shared" si="275"/>
        <v>16624000</v>
      </c>
      <c r="T904" s="34">
        <v>0</v>
      </c>
      <c r="U904" s="34">
        <v>0</v>
      </c>
      <c r="V904" s="34"/>
      <c r="W904" s="34"/>
      <c r="X904" s="34"/>
      <c r="Y904" s="34"/>
      <c r="Z904" s="34">
        <f t="shared" si="276"/>
        <v>3324800</v>
      </c>
      <c r="AA904" s="34">
        <f t="shared" si="278"/>
        <v>35069.808219178078</v>
      </c>
      <c r="AB904" s="8">
        <f t="shared" ref="AB904:AB911" si="280">N904*7/100</f>
        <v>1163680</v>
      </c>
      <c r="AC904" s="4">
        <f t="shared" si="268"/>
        <v>1163680</v>
      </c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</row>
    <row r="905" spans="1:61" s="37" customFormat="1" ht="27.6" customHeight="1" x14ac:dyDescent="0.2">
      <c r="A905" s="9">
        <v>891</v>
      </c>
      <c r="B905" s="58" t="s">
        <v>634</v>
      </c>
      <c r="C905" s="9" t="s">
        <v>473</v>
      </c>
      <c r="D905" s="71">
        <v>4951000</v>
      </c>
      <c r="E905" s="9"/>
      <c r="F905" s="9"/>
      <c r="G905" s="62"/>
      <c r="H905" s="54">
        <v>7</v>
      </c>
      <c r="I905" s="34"/>
      <c r="J905" s="34"/>
      <c r="K905" s="34"/>
      <c r="L905" s="34"/>
      <c r="M905" s="34">
        <f t="shared" si="274"/>
        <v>4951000</v>
      </c>
      <c r="N905" s="34">
        <f t="shared" si="279"/>
        <v>4951000</v>
      </c>
      <c r="O905" s="34"/>
      <c r="P905" s="34"/>
      <c r="Q905" s="34"/>
      <c r="R905" s="34"/>
      <c r="S905" s="34">
        <f t="shared" si="275"/>
        <v>4951000</v>
      </c>
      <c r="T905" s="34">
        <v>0</v>
      </c>
      <c r="U905" s="34">
        <v>0</v>
      </c>
      <c r="V905" s="34"/>
      <c r="W905" s="34"/>
      <c r="X905" s="34"/>
      <c r="Y905" s="34"/>
      <c r="Z905" s="34">
        <f t="shared" si="276"/>
        <v>990200</v>
      </c>
      <c r="AA905" s="34">
        <f t="shared" si="278"/>
        <v>10444.575342465754</v>
      </c>
      <c r="AB905" s="8">
        <f t="shared" si="280"/>
        <v>346570</v>
      </c>
      <c r="AC905" s="4">
        <f t="shared" si="268"/>
        <v>346570.00000000006</v>
      </c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</row>
    <row r="906" spans="1:61" s="37" customFormat="1" ht="27.6" customHeight="1" x14ac:dyDescent="0.2">
      <c r="A906" s="9">
        <v>892</v>
      </c>
      <c r="B906" s="58" t="s">
        <v>634</v>
      </c>
      <c r="C906" s="9" t="s">
        <v>473</v>
      </c>
      <c r="D906" s="71">
        <v>25976000</v>
      </c>
      <c r="E906" s="9"/>
      <c r="F906" s="9"/>
      <c r="G906" s="62"/>
      <c r="H906" s="54">
        <v>7</v>
      </c>
      <c r="I906" s="34"/>
      <c r="J906" s="34"/>
      <c r="K906" s="34"/>
      <c r="L906" s="34"/>
      <c r="M906" s="34">
        <f t="shared" si="274"/>
        <v>25976000</v>
      </c>
      <c r="N906" s="34">
        <f t="shared" si="279"/>
        <v>25976000</v>
      </c>
      <c r="O906" s="34"/>
      <c r="P906" s="34"/>
      <c r="Q906" s="34"/>
      <c r="R906" s="34"/>
      <c r="S906" s="34">
        <f t="shared" si="275"/>
        <v>25976000</v>
      </c>
      <c r="T906" s="34">
        <v>0</v>
      </c>
      <c r="U906" s="34">
        <v>0</v>
      </c>
      <c r="V906" s="34"/>
      <c r="W906" s="34"/>
      <c r="X906" s="34"/>
      <c r="Y906" s="34"/>
      <c r="Z906" s="34">
        <f t="shared" si="276"/>
        <v>5195200</v>
      </c>
      <c r="AA906" s="34">
        <f t="shared" si="278"/>
        <v>54798.684931506847</v>
      </c>
      <c r="AB906" s="8">
        <f t="shared" si="280"/>
        <v>1818320</v>
      </c>
      <c r="AC906" s="4">
        <f t="shared" si="268"/>
        <v>1818320.0000000002</v>
      </c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</row>
    <row r="907" spans="1:61" s="37" customFormat="1" ht="27.6" customHeight="1" x14ac:dyDescent="0.2">
      <c r="A907" s="9">
        <v>893</v>
      </c>
      <c r="B907" s="58" t="s">
        <v>634</v>
      </c>
      <c r="C907" s="9" t="s">
        <v>473</v>
      </c>
      <c r="D907" s="71">
        <v>72669000</v>
      </c>
      <c r="E907" s="9"/>
      <c r="F907" s="9"/>
      <c r="G907" s="62"/>
      <c r="H907" s="54">
        <v>7</v>
      </c>
      <c r="I907" s="34"/>
      <c r="J907" s="34"/>
      <c r="K907" s="34"/>
      <c r="L907" s="34"/>
      <c r="M907" s="34">
        <f t="shared" si="274"/>
        <v>72669000</v>
      </c>
      <c r="N907" s="34">
        <f t="shared" si="279"/>
        <v>72669000</v>
      </c>
      <c r="O907" s="34"/>
      <c r="P907" s="34"/>
      <c r="Q907" s="34"/>
      <c r="R907" s="34"/>
      <c r="S907" s="34">
        <f t="shared" si="275"/>
        <v>72669000</v>
      </c>
      <c r="T907" s="34">
        <v>0</v>
      </c>
      <c r="U907" s="34">
        <v>0</v>
      </c>
      <c r="V907" s="34"/>
      <c r="W907" s="34"/>
      <c r="X907" s="34"/>
      <c r="Y907" s="34"/>
      <c r="Z907" s="34">
        <f t="shared" si="276"/>
        <v>14533800</v>
      </c>
      <c r="AA907" s="34">
        <f t="shared" si="278"/>
        <v>153301.72602739726</v>
      </c>
      <c r="AB907" s="8">
        <f t="shared" si="280"/>
        <v>5086830</v>
      </c>
      <c r="AC907" s="4">
        <f t="shared" si="268"/>
        <v>5086830.0000000009</v>
      </c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</row>
    <row r="908" spans="1:61" s="37" customFormat="1" ht="27.6" customHeight="1" x14ac:dyDescent="0.2">
      <c r="A908" s="9">
        <v>894</v>
      </c>
      <c r="B908" s="58" t="s">
        <v>634</v>
      </c>
      <c r="C908" s="9" t="s">
        <v>473</v>
      </c>
      <c r="D908" s="71">
        <v>52599000</v>
      </c>
      <c r="E908" s="9"/>
      <c r="F908" s="9"/>
      <c r="G908" s="62"/>
      <c r="H908" s="54">
        <v>7</v>
      </c>
      <c r="I908" s="34"/>
      <c r="J908" s="34"/>
      <c r="K908" s="34"/>
      <c r="L908" s="34"/>
      <c r="M908" s="34">
        <f t="shared" si="274"/>
        <v>52599000</v>
      </c>
      <c r="N908" s="34">
        <f t="shared" si="279"/>
        <v>52599000</v>
      </c>
      <c r="O908" s="34"/>
      <c r="P908" s="34"/>
      <c r="Q908" s="34"/>
      <c r="R908" s="34"/>
      <c r="S908" s="34">
        <f t="shared" si="275"/>
        <v>52599000</v>
      </c>
      <c r="T908" s="34">
        <v>0</v>
      </c>
      <c r="U908" s="34">
        <v>0</v>
      </c>
      <c r="V908" s="34"/>
      <c r="W908" s="34"/>
      <c r="X908" s="34"/>
      <c r="Y908" s="34"/>
      <c r="Z908" s="34">
        <f t="shared" si="276"/>
        <v>10519800</v>
      </c>
      <c r="AA908" s="34">
        <f t="shared" si="278"/>
        <v>110962.27397260274</v>
      </c>
      <c r="AB908" s="8">
        <f t="shared" si="280"/>
        <v>3681930</v>
      </c>
      <c r="AC908" s="4">
        <f t="shared" si="268"/>
        <v>3681930.0000000005</v>
      </c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</row>
    <row r="909" spans="1:61" s="37" customFormat="1" ht="27.6" customHeight="1" x14ac:dyDescent="0.2">
      <c r="A909" s="9">
        <v>895</v>
      </c>
      <c r="B909" s="58" t="s">
        <v>635</v>
      </c>
      <c r="C909" s="9" t="s">
        <v>473</v>
      </c>
      <c r="D909" s="71">
        <v>18310000</v>
      </c>
      <c r="E909" s="9"/>
      <c r="F909" s="9"/>
      <c r="G909" s="62"/>
      <c r="H909" s="54">
        <v>7</v>
      </c>
      <c r="I909" s="34"/>
      <c r="J909" s="34"/>
      <c r="K909" s="34"/>
      <c r="L909" s="34"/>
      <c r="M909" s="34">
        <f t="shared" si="274"/>
        <v>18310000</v>
      </c>
      <c r="N909" s="34">
        <f t="shared" si="279"/>
        <v>18310000</v>
      </c>
      <c r="O909" s="34"/>
      <c r="P909" s="34"/>
      <c r="Q909" s="34"/>
      <c r="R909" s="34"/>
      <c r="S909" s="34">
        <f t="shared" si="275"/>
        <v>18310000</v>
      </c>
      <c r="T909" s="34">
        <v>0</v>
      </c>
      <c r="U909" s="34">
        <v>0</v>
      </c>
      <c r="V909" s="34"/>
      <c r="W909" s="34"/>
      <c r="X909" s="34"/>
      <c r="Y909" s="34"/>
      <c r="Z909" s="34">
        <f t="shared" si="276"/>
        <v>3662000</v>
      </c>
      <c r="AA909" s="34">
        <f>AB909/365*7</f>
        <v>24580.547945205479</v>
      </c>
      <c r="AB909" s="8">
        <f>N909*7/100</f>
        <v>1281700</v>
      </c>
      <c r="AC909" s="4">
        <f t="shared" si="268"/>
        <v>1281700.0000000002</v>
      </c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</row>
    <row r="910" spans="1:61" s="37" customFormat="1" ht="27.6" customHeight="1" x14ac:dyDescent="0.2">
      <c r="A910" s="9">
        <v>896</v>
      </c>
      <c r="B910" s="58" t="s">
        <v>635</v>
      </c>
      <c r="C910" s="9" t="s">
        <v>473</v>
      </c>
      <c r="D910" s="71">
        <v>146999000</v>
      </c>
      <c r="E910" s="9"/>
      <c r="F910" s="9"/>
      <c r="G910" s="62"/>
      <c r="H910" s="54">
        <v>7</v>
      </c>
      <c r="I910" s="34"/>
      <c r="J910" s="34"/>
      <c r="K910" s="34"/>
      <c r="L910" s="34"/>
      <c r="M910" s="34">
        <f t="shared" si="274"/>
        <v>146999000</v>
      </c>
      <c r="N910" s="34">
        <f t="shared" si="279"/>
        <v>146999000</v>
      </c>
      <c r="O910" s="34"/>
      <c r="P910" s="34"/>
      <c r="Q910" s="34"/>
      <c r="R910" s="34"/>
      <c r="S910" s="34">
        <f t="shared" si="275"/>
        <v>146999000</v>
      </c>
      <c r="T910" s="34">
        <v>0</v>
      </c>
      <c r="U910" s="34">
        <v>0</v>
      </c>
      <c r="V910" s="34"/>
      <c r="W910" s="34"/>
      <c r="X910" s="34"/>
      <c r="Y910" s="34"/>
      <c r="Z910" s="34">
        <f t="shared" si="276"/>
        <v>29399800</v>
      </c>
      <c r="AA910" s="34">
        <f>AB910/365*7</f>
        <v>197341.12328767122</v>
      </c>
      <c r="AB910" s="8">
        <f t="shared" si="280"/>
        <v>10289930</v>
      </c>
      <c r="AC910" s="4">
        <f t="shared" si="268"/>
        <v>10289930.000000002</v>
      </c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</row>
    <row r="911" spans="1:61" s="37" customFormat="1" ht="27.6" customHeight="1" x14ac:dyDescent="0.2">
      <c r="A911" s="9">
        <v>897</v>
      </c>
      <c r="B911" s="58" t="s">
        <v>635</v>
      </c>
      <c r="C911" s="9" t="s">
        <v>473</v>
      </c>
      <c r="D911" s="71">
        <v>30676000</v>
      </c>
      <c r="E911" s="9"/>
      <c r="F911" s="9"/>
      <c r="G911" s="62"/>
      <c r="H911" s="54">
        <v>7</v>
      </c>
      <c r="I911" s="34"/>
      <c r="J911" s="34"/>
      <c r="K911" s="34"/>
      <c r="L911" s="34"/>
      <c r="M911" s="34">
        <f t="shared" si="274"/>
        <v>30676000</v>
      </c>
      <c r="N911" s="34">
        <f t="shared" si="279"/>
        <v>30676000</v>
      </c>
      <c r="O911" s="34"/>
      <c r="P911" s="34"/>
      <c r="Q911" s="34"/>
      <c r="R911" s="34"/>
      <c r="S911" s="34">
        <f t="shared" si="275"/>
        <v>30676000</v>
      </c>
      <c r="T911" s="34">
        <v>0</v>
      </c>
      <c r="U911" s="34">
        <v>0</v>
      </c>
      <c r="V911" s="34"/>
      <c r="W911" s="34"/>
      <c r="X911" s="34"/>
      <c r="Y911" s="34"/>
      <c r="Z911" s="34">
        <f t="shared" si="276"/>
        <v>6135200</v>
      </c>
      <c r="AA911" s="34">
        <f>AB911/365*7</f>
        <v>41181.479452054795</v>
      </c>
      <c r="AB911" s="8">
        <f t="shared" si="280"/>
        <v>2147320</v>
      </c>
      <c r="AC911" s="4">
        <f t="shared" si="268"/>
        <v>2147320</v>
      </c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</row>
    <row r="912" spans="1:61" s="37" customFormat="1" ht="27.6" customHeight="1" x14ac:dyDescent="0.2">
      <c r="A912" s="9">
        <v>898</v>
      </c>
      <c r="B912" s="58" t="s">
        <v>636</v>
      </c>
      <c r="C912" s="9" t="s">
        <v>473</v>
      </c>
      <c r="D912" s="71">
        <v>6739000</v>
      </c>
      <c r="E912" s="9"/>
      <c r="F912" s="9"/>
      <c r="G912" s="62"/>
      <c r="H912" s="54">
        <v>7</v>
      </c>
      <c r="I912" s="34"/>
      <c r="J912" s="34"/>
      <c r="K912" s="34"/>
      <c r="L912" s="34"/>
      <c r="M912" s="34">
        <f t="shared" si="274"/>
        <v>6739000</v>
      </c>
      <c r="N912" s="34">
        <f t="shared" ref="N912:N943" si="281">D912</f>
        <v>6739000</v>
      </c>
      <c r="O912" s="34"/>
      <c r="P912" s="34"/>
      <c r="Q912" s="34"/>
      <c r="R912" s="34"/>
      <c r="S912" s="34">
        <f t="shared" si="275"/>
        <v>6739000</v>
      </c>
      <c r="T912" s="34">
        <v>0</v>
      </c>
      <c r="U912" s="34">
        <v>0</v>
      </c>
      <c r="V912" s="34"/>
      <c r="W912" s="34"/>
      <c r="X912" s="34"/>
      <c r="Y912" s="34"/>
      <c r="Z912" s="34">
        <f t="shared" si="276"/>
        <v>1347800</v>
      </c>
      <c r="AA912" s="34">
        <f>AB912/365*6</f>
        <v>7754.4657534246571</v>
      </c>
      <c r="AB912" s="8">
        <f>N912*7/100</f>
        <v>471730</v>
      </c>
      <c r="AC912" s="4">
        <f t="shared" si="268"/>
        <v>471730.00000000006</v>
      </c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</row>
    <row r="913" spans="1:61" s="37" customFormat="1" ht="27.6" customHeight="1" x14ac:dyDescent="0.2">
      <c r="A913" s="9">
        <v>899</v>
      </c>
      <c r="B913" s="58" t="s">
        <v>636</v>
      </c>
      <c r="C913" s="9" t="s">
        <v>473</v>
      </c>
      <c r="D913" s="71">
        <v>27014000</v>
      </c>
      <c r="E913" s="9"/>
      <c r="F913" s="9"/>
      <c r="G913" s="62"/>
      <c r="H913" s="54">
        <v>7</v>
      </c>
      <c r="I913" s="34"/>
      <c r="J913" s="34"/>
      <c r="K913" s="34"/>
      <c r="L913" s="34"/>
      <c r="M913" s="34">
        <f t="shared" si="274"/>
        <v>27014000</v>
      </c>
      <c r="N913" s="34">
        <f t="shared" si="281"/>
        <v>27014000</v>
      </c>
      <c r="O913" s="34"/>
      <c r="P913" s="34"/>
      <c r="Q913" s="34"/>
      <c r="R913" s="34"/>
      <c r="S913" s="34">
        <f t="shared" si="275"/>
        <v>27014000</v>
      </c>
      <c r="T913" s="34">
        <v>0</v>
      </c>
      <c r="U913" s="34">
        <v>0</v>
      </c>
      <c r="V913" s="34"/>
      <c r="W913" s="34"/>
      <c r="X913" s="34"/>
      <c r="Y913" s="34"/>
      <c r="Z913" s="34">
        <f t="shared" si="276"/>
        <v>5402800</v>
      </c>
      <c r="AA913" s="34">
        <f>AB913/365*6</f>
        <v>31084.602739726026</v>
      </c>
      <c r="AB913" s="8">
        <f>N913*7/100</f>
        <v>1890980</v>
      </c>
      <c r="AC913" s="4">
        <f t="shared" si="268"/>
        <v>1890980.0000000002</v>
      </c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</row>
    <row r="914" spans="1:61" s="37" customFormat="1" ht="27.6" customHeight="1" x14ac:dyDescent="0.2">
      <c r="A914" s="9">
        <v>900</v>
      </c>
      <c r="B914" s="58" t="s">
        <v>636</v>
      </c>
      <c r="C914" s="9" t="s">
        <v>473</v>
      </c>
      <c r="D914" s="71">
        <v>38996000</v>
      </c>
      <c r="E914" s="9"/>
      <c r="F914" s="9"/>
      <c r="G914" s="62"/>
      <c r="H914" s="54">
        <v>7</v>
      </c>
      <c r="I914" s="34"/>
      <c r="J914" s="34"/>
      <c r="K914" s="34"/>
      <c r="L914" s="34"/>
      <c r="M914" s="34">
        <f t="shared" si="274"/>
        <v>38996000</v>
      </c>
      <c r="N914" s="34">
        <f t="shared" si="281"/>
        <v>38996000</v>
      </c>
      <c r="O914" s="34"/>
      <c r="P914" s="34"/>
      <c r="Q914" s="34"/>
      <c r="R914" s="34"/>
      <c r="S914" s="34">
        <f t="shared" si="275"/>
        <v>38996000</v>
      </c>
      <c r="T914" s="34">
        <v>0</v>
      </c>
      <c r="U914" s="34">
        <v>0</v>
      </c>
      <c r="V914" s="34"/>
      <c r="W914" s="34"/>
      <c r="X914" s="34"/>
      <c r="Y914" s="34"/>
      <c r="Z914" s="34">
        <f t="shared" si="276"/>
        <v>7799200</v>
      </c>
      <c r="AA914" s="34">
        <f>AB914/365*6</f>
        <v>44872.109589041094</v>
      </c>
      <c r="AB914" s="8">
        <f>N914*7/100</f>
        <v>2729720</v>
      </c>
      <c r="AC914" s="4">
        <f t="shared" si="268"/>
        <v>2729720.0000000005</v>
      </c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</row>
    <row r="915" spans="1:61" s="37" customFormat="1" ht="27.6" customHeight="1" x14ac:dyDescent="0.2">
      <c r="A915" s="9">
        <v>901</v>
      </c>
      <c r="B915" s="58" t="s">
        <v>637</v>
      </c>
      <c r="C915" s="9" t="s">
        <v>473</v>
      </c>
      <c r="D915" s="71">
        <v>101078000</v>
      </c>
      <c r="E915" s="9"/>
      <c r="F915" s="9"/>
      <c r="G915" s="62"/>
      <c r="H915" s="54">
        <v>6.75</v>
      </c>
      <c r="I915" s="34"/>
      <c r="J915" s="34"/>
      <c r="K915" s="34"/>
      <c r="L915" s="34"/>
      <c r="M915" s="34">
        <v>0</v>
      </c>
      <c r="N915" s="34">
        <f t="shared" si="281"/>
        <v>101078000</v>
      </c>
      <c r="O915" s="34"/>
      <c r="P915" s="34"/>
      <c r="Q915" s="34"/>
      <c r="R915" s="34"/>
      <c r="S915" s="34">
        <f t="shared" si="275"/>
        <v>101078000</v>
      </c>
      <c r="T915" s="34">
        <v>0</v>
      </c>
      <c r="U915" s="34">
        <v>0</v>
      </c>
      <c r="V915" s="34"/>
      <c r="W915" s="34"/>
      <c r="X915" s="34"/>
      <c r="Y915" s="34"/>
      <c r="Z915" s="34">
        <v>0</v>
      </c>
      <c r="AA915" s="34">
        <f>AB915/365*321</f>
        <v>6000294.6986301374</v>
      </c>
      <c r="AB915" s="8">
        <f>N915*6.75/100</f>
        <v>6822765</v>
      </c>
      <c r="AC915" s="4">
        <f t="shared" si="268"/>
        <v>6822765</v>
      </c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</row>
    <row r="916" spans="1:61" s="37" customFormat="1" ht="27.6" customHeight="1" x14ac:dyDescent="0.2">
      <c r="A916" s="9">
        <v>902</v>
      </c>
      <c r="B916" s="58" t="s">
        <v>637</v>
      </c>
      <c r="C916" s="9" t="s">
        <v>473</v>
      </c>
      <c r="D916" s="71">
        <v>132974000</v>
      </c>
      <c r="E916" s="9"/>
      <c r="F916" s="9"/>
      <c r="G916" s="62"/>
      <c r="H916" s="54">
        <v>6.75</v>
      </c>
      <c r="I916" s="34"/>
      <c r="J916" s="34"/>
      <c r="K916" s="34"/>
      <c r="L916" s="34"/>
      <c r="M916" s="34">
        <v>0</v>
      </c>
      <c r="N916" s="34">
        <f t="shared" si="281"/>
        <v>132974000</v>
      </c>
      <c r="O916" s="34"/>
      <c r="P916" s="34"/>
      <c r="Q916" s="34"/>
      <c r="R916" s="34"/>
      <c r="S916" s="34">
        <f t="shared" si="275"/>
        <v>132974000</v>
      </c>
      <c r="T916" s="34">
        <v>0</v>
      </c>
      <c r="U916" s="34">
        <v>0</v>
      </c>
      <c r="V916" s="34"/>
      <c r="W916" s="34"/>
      <c r="X916" s="34"/>
      <c r="Y916" s="34"/>
      <c r="Z916" s="34">
        <v>0</v>
      </c>
      <c r="AA916" s="34">
        <f t="shared" ref="AA916" si="282">AB916/365*321</f>
        <v>7893737.3835616438</v>
      </c>
      <c r="AB916" s="8">
        <f>N916*6.75/100</f>
        <v>8975745</v>
      </c>
      <c r="AC916" s="4">
        <f t="shared" si="268"/>
        <v>8975745</v>
      </c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</row>
    <row r="917" spans="1:61" s="37" customFormat="1" ht="27.6" customHeight="1" x14ac:dyDescent="0.2">
      <c r="A917" s="9">
        <v>903</v>
      </c>
      <c r="B917" s="58" t="s">
        <v>638</v>
      </c>
      <c r="C917" s="9" t="s">
        <v>473</v>
      </c>
      <c r="D917" s="71">
        <v>16001000</v>
      </c>
      <c r="E917" s="9"/>
      <c r="F917" s="9"/>
      <c r="G917" s="62"/>
      <c r="H917" s="54">
        <v>6.75</v>
      </c>
      <c r="I917" s="34"/>
      <c r="J917" s="34"/>
      <c r="K917" s="34"/>
      <c r="L917" s="34"/>
      <c r="M917" s="34">
        <v>0</v>
      </c>
      <c r="N917" s="34">
        <f t="shared" si="281"/>
        <v>16001000</v>
      </c>
      <c r="O917" s="34"/>
      <c r="P917" s="34"/>
      <c r="Q917" s="34"/>
      <c r="R917" s="34"/>
      <c r="S917" s="34">
        <f t="shared" si="275"/>
        <v>16001000</v>
      </c>
      <c r="T917" s="34">
        <v>0</v>
      </c>
      <c r="U917" s="34">
        <v>0</v>
      </c>
      <c r="V917" s="34"/>
      <c r="W917" s="34"/>
      <c r="X917" s="34"/>
      <c r="Y917" s="34"/>
      <c r="Z917" s="34">
        <v>0</v>
      </c>
      <c r="AA917" s="34">
        <f>AB917/365*320</f>
        <v>946908.49315068498</v>
      </c>
      <c r="AB917" s="8">
        <f t="shared" ref="AB917:AB926" si="283">N917*6.75/100</f>
        <v>1080067.5</v>
      </c>
      <c r="AC917" s="4">
        <f t="shared" si="268"/>
        <v>1080067.5</v>
      </c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</row>
    <row r="918" spans="1:61" s="37" customFormat="1" ht="27.6" customHeight="1" x14ac:dyDescent="0.2">
      <c r="A918" s="9">
        <v>904</v>
      </c>
      <c r="B918" s="58" t="s">
        <v>638</v>
      </c>
      <c r="C918" s="9" t="s">
        <v>473</v>
      </c>
      <c r="D918" s="71">
        <v>32238000</v>
      </c>
      <c r="E918" s="9"/>
      <c r="F918" s="9"/>
      <c r="G918" s="62"/>
      <c r="H918" s="54">
        <v>6.75</v>
      </c>
      <c r="I918" s="34"/>
      <c r="J918" s="34"/>
      <c r="K918" s="34"/>
      <c r="L918" s="34"/>
      <c r="M918" s="34">
        <v>0</v>
      </c>
      <c r="N918" s="34">
        <f t="shared" si="281"/>
        <v>32238000</v>
      </c>
      <c r="O918" s="34"/>
      <c r="P918" s="34"/>
      <c r="Q918" s="34"/>
      <c r="R918" s="34"/>
      <c r="S918" s="34">
        <f t="shared" si="275"/>
        <v>32238000</v>
      </c>
      <c r="T918" s="34">
        <v>0</v>
      </c>
      <c r="U918" s="34">
        <v>0</v>
      </c>
      <c r="V918" s="34"/>
      <c r="W918" s="34"/>
      <c r="X918" s="34"/>
      <c r="Y918" s="34"/>
      <c r="Z918" s="34">
        <v>0</v>
      </c>
      <c r="AA918" s="34">
        <f>AB918/365*320</f>
        <v>1907783.01369863</v>
      </c>
      <c r="AB918" s="8">
        <f t="shared" si="283"/>
        <v>2176065</v>
      </c>
      <c r="AC918" s="4">
        <f t="shared" si="268"/>
        <v>2176065</v>
      </c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</row>
    <row r="919" spans="1:61" s="37" customFormat="1" ht="27.6" customHeight="1" x14ac:dyDescent="0.2">
      <c r="A919" s="9">
        <v>905</v>
      </c>
      <c r="B919" s="58" t="s">
        <v>644</v>
      </c>
      <c r="C919" s="9" t="s">
        <v>473</v>
      </c>
      <c r="D919" s="71">
        <v>36867000</v>
      </c>
      <c r="E919" s="9"/>
      <c r="F919" s="9"/>
      <c r="G919" s="62"/>
      <c r="H919" s="54">
        <v>6.75</v>
      </c>
      <c r="I919" s="34"/>
      <c r="J919" s="34"/>
      <c r="K919" s="34"/>
      <c r="L919" s="34"/>
      <c r="M919" s="34">
        <v>0</v>
      </c>
      <c r="N919" s="34">
        <f t="shared" si="281"/>
        <v>36867000</v>
      </c>
      <c r="O919" s="34"/>
      <c r="P919" s="34"/>
      <c r="Q919" s="34"/>
      <c r="R919" s="34"/>
      <c r="S919" s="34">
        <f t="shared" si="275"/>
        <v>36867000</v>
      </c>
      <c r="T919" s="34">
        <v>0</v>
      </c>
      <c r="U919" s="34">
        <v>0</v>
      </c>
      <c r="V919" s="34"/>
      <c r="W919" s="34"/>
      <c r="X919" s="34"/>
      <c r="Y919" s="34"/>
      <c r="Z919" s="34">
        <v>0</v>
      </c>
      <c r="AA919" s="34">
        <f>AB919/365*295</f>
        <v>2011271.6095890412</v>
      </c>
      <c r="AB919" s="8">
        <f t="shared" si="283"/>
        <v>2488522.5</v>
      </c>
      <c r="AC919" s="4">
        <f t="shared" si="268"/>
        <v>2488522.5</v>
      </c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</row>
    <row r="920" spans="1:61" s="37" customFormat="1" ht="27.6" customHeight="1" x14ac:dyDescent="0.2">
      <c r="A920" s="9">
        <v>906</v>
      </c>
      <c r="B920" s="58" t="s">
        <v>644</v>
      </c>
      <c r="C920" s="9" t="s">
        <v>473</v>
      </c>
      <c r="D920" s="71">
        <v>116563000</v>
      </c>
      <c r="E920" s="9"/>
      <c r="F920" s="9"/>
      <c r="G920" s="62"/>
      <c r="H920" s="54">
        <v>6.75</v>
      </c>
      <c r="I920" s="34"/>
      <c r="J920" s="34"/>
      <c r="K920" s="34"/>
      <c r="L920" s="34"/>
      <c r="M920" s="34">
        <v>0</v>
      </c>
      <c r="N920" s="34">
        <f t="shared" si="281"/>
        <v>116563000</v>
      </c>
      <c r="O920" s="34"/>
      <c r="P920" s="34"/>
      <c r="Q920" s="34"/>
      <c r="R920" s="34"/>
      <c r="S920" s="34">
        <f t="shared" si="275"/>
        <v>116563000</v>
      </c>
      <c r="T920" s="34">
        <v>0</v>
      </c>
      <c r="U920" s="34">
        <v>0</v>
      </c>
      <c r="V920" s="34"/>
      <c r="W920" s="34"/>
      <c r="X920" s="34"/>
      <c r="Y920" s="34"/>
      <c r="Z920" s="34">
        <v>0</v>
      </c>
      <c r="AA920" s="34">
        <f t="shared" ref="AA920:AA922" si="284">AB920/365*295</f>
        <v>6359070.51369863</v>
      </c>
      <c r="AB920" s="8">
        <f t="shared" si="283"/>
        <v>7868002.5</v>
      </c>
      <c r="AC920" s="4">
        <f t="shared" ref="AC920:AC983" si="285">S920*H920%</f>
        <v>7868002.5000000009</v>
      </c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</row>
    <row r="921" spans="1:61" s="37" customFormat="1" ht="27.6" customHeight="1" x14ac:dyDescent="0.2">
      <c r="A921" s="9">
        <v>907</v>
      </c>
      <c r="B921" s="58" t="s">
        <v>644</v>
      </c>
      <c r="C921" s="9" t="s">
        <v>473</v>
      </c>
      <c r="D921" s="71">
        <v>53474000</v>
      </c>
      <c r="E921" s="9"/>
      <c r="F921" s="9"/>
      <c r="G921" s="62"/>
      <c r="H921" s="54">
        <v>6.75</v>
      </c>
      <c r="I921" s="34"/>
      <c r="J921" s="34"/>
      <c r="K921" s="34"/>
      <c r="L921" s="34"/>
      <c r="M921" s="34">
        <v>0</v>
      </c>
      <c r="N921" s="34">
        <f t="shared" si="281"/>
        <v>53474000</v>
      </c>
      <c r="O921" s="34"/>
      <c r="P921" s="34"/>
      <c r="Q921" s="34"/>
      <c r="R921" s="34"/>
      <c r="S921" s="34">
        <f t="shared" si="275"/>
        <v>53474000</v>
      </c>
      <c r="T921" s="34">
        <v>0</v>
      </c>
      <c r="U921" s="34">
        <v>0</v>
      </c>
      <c r="V921" s="34"/>
      <c r="W921" s="34"/>
      <c r="X921" s="34"/>
      <c r="Y921" s="34"/>
      <c r="Z921" s="34">
        <v>0</v>
      </c>
      <c r="AA921" s="34">
        <f t="shared" si="284"/>
        <v>2917263.0821917807</v>
      </c>
      <c r="AB921" s="8">
        <f t="shared" si="283"/>
        <v>3609495</v>
      </c>
      <c r="AC921" s="4">
        <f t="shared" si="285"/>
        <v>3609495.0000000005</v>
      </c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</row>
    <row r="922" spans="1:61" s="37" customFormat="1" ht="27.6" customHeight="1" x14ac:dyDescent="0.2">
      <c r="A922" s="9">
        <v>908</v>
      </c>
      <c r="B922" s="58" t="s">
        <v>644</v>
      </c>
      <c r="C922" s="9" t="s">
        <v>473</v>
      </c>
      <c r="D922" s="71">
        <v>7292000</v>
      </c>
      <c r="E922" s="9"/>
      <c r="F922" s="9"/>
      <c r="G922" s="62"/>
      <c r="H922" s="54">
        <v>6.75</v>
      </c>
      <c r="I922" s="34"/>
      <c r="J922" s="34"/>
      <c r="K922" s="34"/>
      <c r="L922" s="34"/>
      <c r="M922" s="34">
        <v>0</v>
      </c>
      <c r="N922" s="34">
        <f t="shared" si="281"/>
        <v>7292000</v>
      </c>
      <c r="O922" s="34"/>
      <c r="P922" s="34"/>
      <c r="Q922" s="34"/>
      <c r="R922" s="34"/>
      <c r="S922" s="34">
        <f t="shared" si="275"/>
        <v>7292000</v>
      </c>
      <c r="T922" s="34">
        <v>0</v>
      </c>
      <c r="U922" s="34">
        <v>0</v>
      </c>
      <c r="V922" s="34"/>
      <c r="W922" s="34"/>
      <c r="X922" s="34"/>
      <c r="Y922" s="34"/>
      <c r="Z922" s="34">
        <v>0</v>
      </c>
      <c r="AA922" s="34">
        <f t="shared" si="284"/>
        <v>397813.56164383562</v>
      </c>
      <c r="AB922" s="8">
        <f>N922*6.75/100</f>
        <v>492210</v>
      </c>
      <c r="AC922" s="4">
        <f t="shared" si="285"/>
        <v>492210.00000000006</v>
      </c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</row>
    <row r="923" spans="1:61" s="37" customFormat="1" ht="27.6" customHeight="1" x14ac:dyDescent="0.2">
      <c r="A923" s="9">
        <v>909</v>
      </c>
      <c r="B923" s="58" t="s">
        <v>646</v>
      </c>
      <c r="C923" s="9" t="s">
        <v>473</v>
      </c>
      <c r="D923" s="71">
        <v>2633000</v>
      </c>
      <c r="E923" s="9"/>
      <c r="F923" s="9"/>
      <c r="G923" s="62"/>
      <c r="H923" s="54">
        <v>6.75</v>
      </c>
      <c r="I923" s="34"/>
      <c r="J923" s="34"/>
      <c r="K923" s="34"/>
      <c r="L923" s="34"/>
      <c r="M923" s="34">
        <v>0</v>
      </c>
      <c r="N923" s="34">
        <f t="shared" si="281"/>
        <v>2633000</v>
      </c>
      <c r="O923" s="34"/>
      <c r="P923" s="34"/>
      <c r="Q923" s="34"/>
      <c r="R923" s="34"/>
      <c r="S923" s="34">
        <f t="shared" si="275"/>
        <v>2633000</v>
      </c>
      <c r="T923" s="34">
        <v>0</v>
      </c>
      <c r="U923" s="34">
        <v>0</v>
      </c>
      <c r="V923" s="34"/>
      <c r="W923" s="34"/>
      <c r="X923" s="34"/>
      <c r="Y923" s="34"/>
      <c r="Z923" s="34">
        <v>0</v>
      </c>
      <c r="AA923" s="34">
        <f>AB923/365*279</f>
        <v>135851.9794520548</v>
      </c>
      <c r="AB923" s="8">
        <f t="shared" si="283"/>
        <v>177727.5</v>
      </c>
      <c r="AC923" s="4">
        <f t="shared" si="285"/>
        <v>177727.5</v>
      </c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</row>
    <row r="924" spans="1:61" s="37" customFormat="1" ht="27.6" customHeight="1" x14ac:dyDescent="0.2">
      <c r="A924" s="9">
        <v>910</v>
      </c>
      <c r="B924" s="58" t="s">
        <v>646</v>
      </c>
      <c r="C924" s="9" t="s">
        <v>473</v>
      </c>
      <c r="D924" s="71">
        <v>25507000</v>
      </c>
      <c r="E924" s="9"/>
      <c r="F924" s="9"/>
      <c r="G924" s="62"/>
      <c r="H924" s="54">
        <v>6.75</v>
      </c>
      <c r="I924" s="34"/>
      <c r="J924" s="34"/>
      <c r="K924" s="34"/>
      <c r="L924" s="34"/>
      <c r="M924" s="34">
        <v>0</v>
      </c>
      <c r="N924" s="34">
        <f t="shared" si="281"/>
        <v>25507000</v>
      </c>
      <c r="O924" s="34"/>
      <c r="P924" s="34"/>
      <c r="Q924" s="34"/>
      <c r="R924" s="34"/>
      <c r="S924" s="34">
        <f t="shared" si="275"/>
        <v>25507000</v>
      </c>
      <c r="T924" s="34">
        <v>0</v>
      </c>
      <c r="U924" s="34">
        <v>0</v>
      </c>
      <c r="V924" s="34"/>
      <c r="W924" s="34"/>
      <c r="X924" s="34"/>
      <c r="Y924" s="34"/>
      <c r="Z924" s="34">
        <v>0</v>
      </c>
      <c r="AA924" s="34">
        <f t="shared" ref="AA924:AA926" si="286">AB924/365*279</f>
        <v>1316056.3767123288</v>
      </c>
      <c r="AB924" s="8">
        <f t="shared" si="283"/>
        <v>1721722.5</v>
      </c>
      <c r="AC924" s="4">
        <f t="shared" si="285"/>
        <v>1721722.5</v>
      </c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</row>
    <row r="925" spans="1:61" s="37" customFormat="1" ht="27.6" customHeight="1" x14ac:dyDescent="0.2">
      <c r="A925" s="9">
        <v>911</v>
      </c>
      <c r="B925" s="58" t="s">
        <v>646</v>
      </c>
      <c r="C925" s="9" t="s">
        <v>473</v>
      </c>
      <c r="D925" s="71">
        <v>30520000</v>
      </c>
      <c r="E925" s="9"/>
      <c r="F925" s="9"/>
      <c r="G925" s="62"/>
      <c r="H925" s="54">
        <v>6.75</v>
      </c>
      <c r="I925" s="34"/>
      <c r="J925" s="34"/>
      <c r="K925" s="34"/>
      <c r="L925" s="34"/>
      <c r="M925" s="34">
        <v>0</v>
      </c>
      <c r="N925" s="34">
        <f t="shared" si="281"/>
        <v>30520000</v>
      </c>
      <c r="O925" s="34"/>
      <c r="P925" s="34"/>
      <c r="Q925" s="34"/>
      <c r="R925" s="34"/>
      <c r="S925" s="34">
        <f t="shared" si="275"/>
        <v>30520000</v>
      </c>
      <c r="T925" s="34">
        <v>0</v>
      </c>
      <c r="U925" s="34">
        <v>0</v>
      </c>
      <c r="V925" s="34"/>
      <c r="W925" s="34"/>
      <c r="X925" s="34"/>
      <c r="Y925" s="34"/>
      <c r="Z925" s="34">
        <v>0</v>
      </c>
      <c r="AA925" s="34">
        <f t="shared" si="286"/>
        <v>1574706.5753424659</v>
      </c>
      <c r="AB925" s="8">
        <f t="shared" si="283"/>
        <v>2060100</v>
      </c>
      <c r="AC925" s="4">
        <f t="shared" si="285"/>
        <v>2060100.0000000002</v>
      </c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</row>
    <row r="926" spans="1:61" s="37" customFormat="1" ht="27.6" customHeight="1" x14ac:dyDescent="0.2">
      <c r="A926" s="9">
        <v>912</v>
      </c>
      <c r="B926" s="58" t="s">
        <v>646</v>
      </c>
      <c r="C926" s="9" t="s">
        <v>473</v>
      </c>
      <c r="D926" s="71">
        <v>12368000</v>
      </c>
      <c r="E926" s="9"/>
      <c r="F926" s="9"/>
      <c r="G926" s="62"/>
      <c r="H926" s="54">
        <v>6.75</v>
      </c>
      <c r="I926" s="34"/>
      <c r="J926" s="34"/>
      <c r="K926" s="34"/>
      <c r="L926" s="34"/>
      <c r="M926" s="34">
        <v>0</v>
      </c>
      <c r="N926" s="34">
        <f t="shared" si="281"/>
        <v>12368000</v>
      </c>
      <c r="O926" s="34"/>
      <c r="P926" s="34"/>
      <c r="Q926" s="34"/>
      <c r="R926" s="34"/>
      <c r="S926" s="34">
        <f t="shared" si="275"/>
        <v>12368000</v>
      </c>
      <c r="T926" s="34">
        <v>0</v>
      </c>
      <c r="U926" s="34">
        <v>0</v>
      </c>
      <c r="V926" s="34"/>
      <c r="W926" s="34"/>
      <c r="X926" s="34"/>
      <c r="Y926" s="34"/>
      <c r="Z926" s="34">
        <v>0</v>
      </c>
      <c r="AA926" s="34">
        <f t="shared" si="286"/>
        <v>638137.9726027397</v>
      </c>
      <c r="AB926" s="8">
        <f t="shared" si="283"/>
        <v>834840</v>
      </c>
      <c r="AC926" s="4">
        <f t="shared" si="285"/>
        <v>834840</v>
      </c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</row>
    <row r="927" spans="1:61" s="37" customFormat="1" ht="27.6" customHeight="1" x14ac:dyDescent="0.2">
      <c r="A927" s="9">
        <v>913</v>
      </c>
      <c r="B927" s="58" t="s">
        <v>650</v>
      </c>
      <c r="C927" s="9" t="s">
        <v>473</v>
      </c>
      <c r="D927" s="71">
        <v>2757000</v>
      </c>
      <c r="E927" s="9"/>
      <c r="F927" s="9"/>
      <c r="G927" s="62"/>
      <c r="H927" s="54">
        <v>8.75</v>
      </c>
      <c r="I927" s="34"/>
      <c r="J927" s="34"/>
      <c r="K927" s="34"/>
      <c r="L927" s="34"/>
      <c r="M927" s="34">
        <v>0</v>
      </c>
      <c r="N927" s="34">
        <f t="shared" si="281"/>
        <v>2757000</v>
      </c>
      <c r="O927" s="34"/>
      <c r="P927" s="34"/>
      <c r="Q927" s="34"/>
      <c r="R927" s="34"/>
      <c r="S927" s="34">
        <f t="shared" si="275"/>
        <v>2757000</v>
      </c>
      <c r="T927" s="34">
        <v>0</v>
      </c>
      <c r="U927" s="34">
        <v>0</v>
      </c>
      <c r="V927" s="34"/>
      <c r="W927" s="34"/>
      <c r="X927" s="34"/>
      <c r="Y927" s="34"/>
      <c r="Z927" s="34">
        <v>0</v>
      </c>
      <c r="AA927" s="34">
        <f>AB927/365*226</f>
        <v>149368.97260273973</v>
      </c>
      <c r="AB927" s="8">
        <f>N927*8.75/100</f>
        <v>241237.5</v>
      </c>
      <c r="AC927" s="4">
        <f t="shared" si="285"/>
        <v>241237.49999999997</v>
      </c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</row>
    <row r="928" spans="1:61" s="37" customFormat="1" ht="27.6" customHeight="1" x14ac:dyDescent="0.2">
      <c r="A928" s="9">
        <v>914</v>
      </c>
      <c r="B928" s="58" t="s">
        <v>650</v>
      </c>
      <c r="C928" s="9" t="s">
        <v>473</v>
      </c>
      <c r="D928" s="71">
        <v>1020000</v>
      </c>
      <c r="E928" s="9"/>
      <c r="F928" s="9"/>
      <c r="G928" s="62"/>
      <c r="H928" s="54">
        <v>8.75</v>
      </c>
      <c r="I928" s="34"/>
      <c r="J928" s="34"/>
      <c r="K928" s="34"/>
      <c r="L928" s="34"/>
      <c r="M928" s="34">
        <v>0</v>
      </c>
      <c r="N928" s="34">
        <f t="shared" si="281"/>
        <v>1020000</v>
      </c>
      <c r="O928" s="34"/>
      <c r="P928" s="34"/>
      <c r="Q928" s="34"/>
      <c r="R928" s="34"/>
      <c r="S928" s="34">
        <f t="shared" si="275"/>
        <v>1020000</v>
      </c>
      <c r="T928" s="34">
        <v>0</v>
      </c>
      <c r="U928" s="34">
        <v>0</v>
      </c>
      <c r="V928" s="34"/>
      <c r="W928" s="34"/>
      <c r="X928" s="34"/>
      <c r="Y928" s="34"/>
      <c r="Z928" s="34">
        <v>0</v>
      </c>
      <c r="AA928" s="34">
        <f t="shared" ref="AA928:AA931" si="287">AB928/365*226</f>
        <v>55261.643835616444</v>
      </c>
      <c r="AB928" s="8">
        <f t="shared" ref="AB928:AB938" si="288">N928*8.75/100</f>
        <v>89250</v>
      </c>
      <c r="AC928" s="4">
        <f t="shared" si="285"/>
        <v>89250</v>
      </c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</row>
    <row r="929" spans="1:61" s="37" customFormat="1" ht="27.6" customHeight="1" x14ac:dyDescent="0.2">
      <c r="A929" s="9">
        <v>915</v>
      </c>
      <c r="B929" s="58" t="s">
        <v>650</v>
      </c>
      <c r="C929" s="9" t="s">
        <v>473</v>
      </c>
      <c r="D929" s="71">
        <v>19502000</v>
      </c>
      <c r="E929" s="9"/>
      <c r="F929" s="9"/>
      <c r="G929" s="62"/>
      <c r="H929" s="54">
        <v>8.75</v>
      </c>
      <c r="I929" s="34"/>
      <c r="J929" s="34"/>
      <c r="K929" s="34"/>
      <c r="L929" s="34"/>
      <c r="M929" s="34">
        <v>0</v>
      </c>
      <c r="N929" s="34">
        <f t="shared" si="281"/>
        <v>19502000</v>
      </c>
      <c r="O929" s="34"/>
      <c r="P929" s="34"/>
      <c r="Q929" s="34"/>
      <c r="R929" s="34"/>
      <c r="S929" s="34">
        <f t="shared" si="275"/>
        <v>19502000</v>
      </c>
      <c r="T929" s="34">
        <v>0</v>
      </c>
      <c r="U929" s="34">
        <v>0</v>
      </c>
      <c r="V929" s="34"/>
      <c r="W929" s="34"/>
      <c r="X929" s="34"/>
      <c r="Y929" s="34"/>
      <c r="Z929" s="34">
        <v>0</v>
      </c>
      <c r="AA929" s="34">
        <f t="shared" si="287"/>
        <v>1056580.9589041097</v>
      </c>
      <c r="AB929" s="8">
        <f t="shared" si="288"/>
        <v>1706425</v>
      </c>
      <c r="AC929" s="4">
        <f t="shared" si="285"/>
        <v>1706425</v>
      </c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</row>
    <row r="930" spans="1:61" s="37" customFormat="1" ht="27.6" customHeight="1" x14ac:dyDescent="0.2">
      <c r="A930" s="9">
        <v>916</v>
      </c>
      <c r="B930" s="58" t="s">
        <v>650</v>
      </c>
      <c r="C930" s="9" t="s">
        <v>473</v>
      </c>
      <c r="D930" s="71">
        <v>26023000</v>
      </c>
      <c r="E930" s="9"/>
      <c r="F930" s="9"/>
      <c r="G930" s="62"/>
      <c r="H930" s="54">
        <v>8.75</v>
      </c>
      <c r="I930" s="34"/>
      <c r="J930" s="34"/>
      <c r="K930" s="34"/>
      <c r="L930" s="34"/>
      <c r="M930" s="34">
        <v>0</v>
      </c>
      <c r="N930" s="34">
        <f t="shared" si="281"/>
        <v>26023000</v>
      </c>
      <c r="O930" s="34"/>
      <c r="P930" s="34"/>
      <c r="Q930" s="34"/>
      <c r="R930" s="34"/>
      <c r="S930" s="34">
        <f t="shared" si="275"/>
        <v>26023000</v>
      </c>
      <c r="T930" s="34">
        <v>0</v>
      </c>
      <c r="U930" s="34">
        <v>0</v>
      </c>
      <c r="V930" s="34"/>
      <c r="W930" s="34"/>
      <c r="X930" s="34"/>
      <c r="Y930" s="34"/>
      <c r="Z930" s="34">
        <v>0</v>
      </c>
      <c r="AA930" s="34">
        <f t="shared" si="287"/>
        <v>1409876.2328767122</v>
      </c>
      <c r="AB930" s="8">
        <f t="shared" si="288"/>
        <v>2277012.5</v>
      </c>
      <c r="AC930" s="4">
        <f t="shared" si="285"/>
        <v>2277012.5</v>
      </c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</row>
    <row r="931" spans="1:61" s="37" customFormat="1" ht="27.6" customHeight="1" x14ac:dyDescent="0.2">
      <c r="A931" s="9">
        <v>917</v>
      </c>
      <c r="B931" s="58" t="s">
        <v>650</v>
      </c>
      <c r="C931" s="9" t="s">
        <v>473</v>
      </c>
      <c r="D931" s="71">
        <v>1661000</v>
      </c>
      <c r="E931" s="9"/>
      <c r="F931" s="9"/>
      <c r="G931" s="62"/>
      <c r="H931" s="54">
        <v>8.75</v>
      </c>
      <c r="I931" s="34"/>
      <c r="J931" s="34"/>
      <c r="K931" s="34"/>
      <c r="L931" s="34"/>
      <c r="M931" s="34">
        <v>0</v>
      </c>
      <c r="N931" s="34">
        <f t="shared" si="281"/>
        <v>1661000</v>
      </c>
      <c r="O931" s="34"/>
      <c r="P931" s="34"/>
      <c r="Q931" s="34"/>
      <c r="R931" s="34"/>
      <c r="S931" s="34">
        <f t="shared" si="275"/>
        <v>1661000</v>
      </c>
      <c r="T931" s="34">
        <v>0</v>
      </c>
      <c r="U931" s="34">
        <v>0</v>
      </c>
      <c r="V931" s="34"/>
      <c r="W931" s="34"/>
      <c r="X931" s="34"/>
      <c r="Y931" s="34"/>
      <c r="Z931" s="34">
        <v>0</v>
      </c>
      <c r="AA931" s="34">
        <f t="shared" si="287"/>
        <v>89989.794520547934</v>
      </c>
      <c r="AB931" s="8">
        <f t="shared" si="288"/>
        <v>145337.5</v>
      </c>
      <c r="AC931" s="4">
        <f t="shared" si="285"/>
        <v>145337.5</v>
      </c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</row>
    <row r="932" spans="1:61" s="37" customFormat="1" ht="27.6" customHeight="1" x14ac:dyDescent="0.2">
      <c r="A932" s="9">
        <v>918</v>
      </c>
      <c r="B932" s="58" t="s">
        <v>652</v>
      </c>
      <c r="C932" s="9" t="s">
        <v>473</v>
      </c>
      <c r="D932" s="71">
        <v>8359000</v>
      </c>
      <c r="E932" s="9"/>
      <c r="F932" s="9"/>
      <c r="G932" s="62"/>
      <c r="H932" s="54">
        <v>8.75</v>
      </c>
      <c r="I932" s="34"/>
      <c r="J932" s="34"/>
      <c r="K932" s="34"/>
      <c r="L932" s="34"/>
      <c r="M932" s="34">
        <v>0</v>
      </c>
      <c r="N932" s="34">
        <f t="shared" si="281"/>
        <v>8359000</v>
      </c>
      <c r="O932" s="34"/>
      <c r="P932" s="34"/>
      <c r="Q932" s="34"/>
      <c r="R932" s="34"/>
      <c r="S932" s="34">
        <f t="shared" si="275"/>
        <v>8359000</v>
      </c>
      <c r="T932" s="34">
        <v>0</v>
      </c>
      <c r="U932" s="34">
        <v>0</v>
      </c>
      <c r="V932" s="34"/>
      <c r="W932" s="34"/>
      <c r="X932" s="34"/>
      <c r="Y932" s="34"/>
      <c r="Z932" s="34">
        <v>0</v>
      </c>
      <c r="AA932" s="34">
        <f>AB932/365*211</f>
        <v>422816.54109589045</v>
      </c>
      <c r="AB932" s="8">
        <f t="shared" si="288"/>
        <v>731412.5</v>
      </c>
      <c r="AC932" s="4">
        <f t="shared" si="285"/>
        <v>731412.5</v>
      </c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</row>
    <row r="933" spans="1:61" s="37" customFormat="1" ht="27.6" customHeight="1" x14ac:dyDescent="0.2">
      <c r="A933" s="9">
        <v>919</v>
      </c>
      <c r="B933" s="58" t="s">
        <v>654</v>
      </c>
      <c r="C933" s="9" t="s">
        <v>473</v>
      </c>
      <c r="D933" s="71">
        <v>8473000</v>
      </c>
      <c r="E933" s="9"/>
      <c r="F933" s="9"/>
      <c r="G933" s="62"/>
      <c r="H933" s="54">
        <v>8.75</v>
      </c>
      <c r="I933" s="34"/>
      <c r="J933" s="34"/>
      <c r="K933" s="34"/>
      <c r="L933" s="34"/>
      <c r="M933" s="34">
        <v>0</v>
      </c>
      <c r="N933" s="34">
        <f t="shared" si="281"/>
        <v>8473000</v>
      </c>
      <c r="O933" s="34"/>
      <c r="P933" s="34"/>
      <c r="Q933" s="34"/>
      <c r="R933" s="34"/>
      <c r="S933" s="34">
        <f t="shared" si="275"/>
        <v>8473000</v>
      </c>
      <c r="T933" s="34">
        <v>0</v>
      </c>
      <c r="U933" s="34">
        <v>0</v>
      </c>
      <c r="V933" s="34"/>
      <c r="W933" s="34"/>
      <c r="X933" s="34"/>
      <c r="Y933" s="34"/>
      <c r="Z933" s="34">
        <v>0</v>
      </c>
      <c r="AA933" s="34">
        <f>AB933/365*202</f>
        <v>410302.12328767125</v>
      </c>
      <c r="AB933" s="8">
        <f t="shared" si="288"/>
        <v>741387.5</v>
      </c>
      <c r="AC933" s="4">
        <f t="shared" si="285"/>
        <v>741387.5</v>
      </c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</row>
    <row r="934" spans="1:61" s="37" customFormat="1" ht="27.6" customHeight="1" x14ac:dyDescent="0.2">
      <c r="A934" s="9">
        <v>920</v>
      </c>
      <c r="B934" s="58" t="s">
        <v>654</v>
      </c>
      <c r="C934" s="9" t="s">
        <v>473</v>
      </c>
      <c r="D934" s="71">
        <v>6124000</v>
      </c>
      <c r="E934" s="9"/>
      <c r="F934" s="9"/>
      <c r="G934" s="62"/>
      <c r="H934" s="54">
        <v>8.75</v>
      </c>
      <c r="I934" s="34"/>
      <c r="J934" s="34"/>
      <c r="K934" s="34"/>
      <c r="L934" s="34"/>
      <c r="M934" s="34">
        <v>0</v>
      </c>
      <c r="N934" s="34">
        <f t="shared" si="281"/>
        <v>6124000</v>
      </c>
      <c r="O934" s="34"/>
      <c r="P934" s="34"/>
      <c r="Q934" s="34"/>
      <c r="R934" s="34"/>
      <c r="S934" s="34">
        <f t="shared" si="275"/>
        <v>6124000</v>
      </c>
      <c r="T934" s="34">
        <v>0</v>
      </c>
      <c r="U934" s="34">
        <v>0</v>
      </c>
      <c r="V934" s="34"/>
      <c r="W934" s="34"/>
      <c r="X934" s="34"/>
      <c r="Y934" s="34"/>
      <c r="Z934" s="34">
        <v>0</v>
      </c>
      <c r="AA934" s="34">
        <f>AB934/365*202</f>
        <v>296552.60273972602</v>
      </c>
      <c r="AB934" s="8">
        <f t="shared" si="288"/>
        <v>535850</v>
      </c>
      <c r="AC934" s="4">
        <f t="shared" si="285"/>
        <v>535850</v>
      </c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</row>
    <row r="935" spans="1:61" s="37" customFormat="1" ht="27.6" customHeight="1" x14ac:dyDescent="0.2">
      <c r="A935" s="9">
        <v>921</v>
      </c>
      <c r="B935" s="58" t="s">
        <v>656</v>
      </c>
      <c r="C935" s="9" t="s">
        <v>473</v>
      </c>
      <c r="D935" s="71">
        <v>80623000</v>
      </c>
      <c r="E935" s="9"/>
      <c r="F935" s="9"/>
      <c r="G935" s="62"/>
      <c r="H935" s="54">
        <v>8.75</v>
      </c>
      <c r="I935" s="34"/>
      <c r="J935" s="34"/>
      <c r="K935" s="34"/>
      <c r="L935" s="34"/>
      <c r="M935" s="34">
        <v>0</v>
      </c>
      <c r="N935" s="34">
        <f t="shared" si="281"/>
        <v>80623000</v>
      </c>
      <c r="O935" s="34"/>
      <c r="P935" s="34"/>
      <c r="Q935" s="34"/>
      <c r="R935" s="34"/>
      <c r="S935" s="34">
        <f t="shared" si="275"/>
        <v>80623000</v>
      </c>
      <c r="T935" s="34">
        <v>0</v>
      </c>
      <c r="U935" s="34">
        <v>0</v>
      </c>
      <c r="V935" s="34"/>
      <c r="W935" s="34"/>
      <c r="X935" s="34"/>
      <c r="Y935" s="34"/>
      <c r="Z935" s="34">
        <v>0</v>
      </c>
      <c r="AA935" s="34">
        <f>AB935/365*201</f>
        <v>3884813.7328767125</v>
      </c>
      <c r="AB935" s="8">
        <f t="shared" si="288"/>
        <v>7054512.5</v>
      </c>
      <c r="AC935" s="4">
        <f t="shared" si="285"/>
        <v>7054512.5</v>
      </c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</row>
    <row r="936" spans="1:61" s="37" customFormat="1" ht="27.6" customHeight="1" x14ac:dyDescent="0.2">
      <c r="A936" s="9">
        <v>922</v>
      </c>
      <c r="B936" s="58" t="s">
        <v>656</v>
      </c>
      <c r="C936" s="9" t="s">
        <v>473</v>
      </c>
      <c r="D936" s="71">
        <v>39974000</v>
      </c>
      <c r="E936" s="9"/>
      <c r="F936" s="9"/>
      <c r="G936" s="62"/>
      <c r="H936" s="54">
        <v>8.75</v>
      </c>
      <c r="I936" s="34"/>
      <c r="J936" s="34"/>
      <c r="K936" s="34"/>
      <c r="L936" s="34"/>
      <c r="M936" s="34">
        <v>0</v>
      </c>
      <c r="N936" s="34">
        <f t="shared" si="281"/>
        <v>39974000</v>
      </c>
      <c r="O936" s="34"/>
      <c r="P936" s="34"/>
      <c r="Q936" s="34"/>
      <c r="R936" s="34"/>
      <c r="S936" s="34">
        <f t="shared" ref="S936:S981" si="289">N936-U936</f>
        <v>39974000</v>
      </c>
      <c r="T936" s="34">
        <v>0</v>
      </c>
      <c r="U936" s="34">
        <v>0</v>
      </c>
      <c r="V936" s="34"/>
      <c r="W936" s="34"/>
      <c r="X936" s="34"/>
      <c r="Y936" s="34"/>
      <c r="Z936" s="34">
        <v>0</v>
      </c>
      <c r="AA936" s="34">
        <f t="shared" ref="AA936:AA937" si="290">AB936/365*201</f>
        <v>1926144.4520547944</v>
      </c>
      <c r="AB936" s="8">
        <f t="shared" si="288"/>
        <v>3497725</v>
      </c>
      <c r="AC936" s="4">
        <f t="shared" si="285"/>
        <v>3497725</v>
      </c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</row>
    <row r="937" spans="1:61" s="37" customFormat="1" ht="27.6" customHeight="1" x14ac:dyDescent="0.2">
      <c r="A937" s="9">
        <v>923</v>
      </c>
      <c r="B937" s="58" t="s">
        <v>656</v>
      </c>
      <c r="C937" s="9" t="s">
        <v>473</v>
      </c>
      <c r="D937" s="71">
        <v>5902000</v>
      </c>
      <c r="E937" s="9"/>
      <c r="F937" s="9"/>
      <c r="G937" s="62"/>
      <c r="H937" s="54">
        <v>8.75</v>
      </c>
      <c r="I937" s="34"/>
      <c r="J937" s="34"/>
      <c r="K937" s="34"/>
      <c r="L937" s="34"/>
      <c r="M937" s="34">
        <v>0</v>
      </c>
      <c r="N937" s="34">
        <f t="shared" si="281"/>
        <v>5902000</v>
      </c>
      <c r="O937" s="34"/>
      <c r="P937" s="34"/>
      <c r="Q937" s="34"/>
      <c r="R937" s="34"/>
      <c r="S937" s="34">
        <f t="shared" si="289"/>
        <v>5902000</v>
      </c>
      <c r="T937" s="34">
        <v>0</v>
      </c>
      <c r="U937" s="34">
        <v>0</v>
      </c>
      <c r="V937" s="34"/>
      <c r="W937" s="34"/>
      <c r="X937" s="34"/>
      <c r="Y937" s="34"/>
      <c r="Z937" s="34">
        <v>0</v>
      </c>
      <c r="AA937" s="34">
        <f t="shared" si="290"/>
        <v>284387.46575342462</v>
      </c>
      <c r="AB937" s="8">
        <f t="shared" si="288"/>
        <v>516425</v>
      </c>
      <c r="AC937" s="4">
        <f t="shared" si="285"/>
        <v>516424.99999999994</v>
      </c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</row>
    <row r="938" spans="1:61" s="37" customFormat="1" ht="27.6" customHeight="1" x14ac:dyDescent="0.2">
      <c r="A938" s="9">
        <v>924</v>
      </c>
      <c r="B938" s="58" t="s">
        <v>657</v>
      </c>
      <c r="C938" s="9" t="s">
        <v>473</v>
      </c>
      <c r="D938" s="71">
        <v>26403000</v>
      </c>
      <c r="E938" s="9"/>
      <c r="F938" s="9"/>
      <c r="G938" s="62"/>
      <c r="H938" s="54">
        <v>8.75</v>
      </c>
      <c r="I938" s="34"/>
      <c r="J938" s="34"/>
      <c r="K938" s="34"/>
      <c r="L938" s="34"/>
      <c r="M938" s="34">
        <v>0</v>
      </c>
      <c r="N938" s="34">
        <f t="shared" si="281"/>
        <v>26403000</v>
      </c>
      <c r="O938" s="34"/>
      <c r="P938" s="34"/>
      <c r="Q938" s="34"/>
      <c r="R938" s="34"/>
      <c r="S938" s="34">
        <f t="shared" si="289"/>
        <v>26403000</v>
      </c>
      <c r="T938" s="34">
        <v>0</v>
      </c>
      <c r="U938" s="34">
        <v>0</v>
      </c>
      <c r="V938" s="34"/>
      <c r="W938" s="34"/>
      <c r="X938" s="34"/>
      <c r="Y938" s="34"/>
      <c r="Z938" s="34">
        <v>0</v>
      </c>
      <c r="AA938" s="34">
        <f>AB938/365*196</f>
        <v>1240579.3150684931</v>
      </c>
      <c r="AB938" s="8">
        <f t="shared" si="288"/>
        <v>2310262.5</v>
      </c>
      <c r="AC938" s="4">
        <f t="shared" si="285"/>
        <v>2310262.5</v>
      </c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</row>
    <row r="939" spans="1:61" s="37" customFormat="1" ht="27.6" customHeight="1" x14ac:dyDescent="0.2">
      <c r="A939" s="9">
        <v>925</v>
      </c>
      <c r="B939" s="58" t="s">
        <v>660</v>
      </c>
      <c r="C939" s="9" t="s">
        <v>473</v>
      </c>
      <c r="D939" s="71">
        <v>1117000</v>
      </c>
      <c r="E939" s="9"/>
      <c r="F939" s="9"/>
      <c r="G939" s="62"/>
      <c r="H939" s="54">
        <v>7.5</v>
      </c>
      <c r="I939" s="34"/>
      <c r="J939" s="34"/>
      <c r="K939" s="34"/>
      <c r="L939" s="34"/>
      <c r="M939" s="34">
        <v>0</v>
      </c>
      <c r="N939" s="34">
        <f t="shared" si="281"/>
        <v>1117000</v>
      </c>
      <c r="O939" s="34"/>
      <c r="P939" s="34"/>
      <c r="Q939" s="34"/>
      <c r="R939" s="34"/>
      <c r="S939" s="34">
        <f t="shared" si="289"/>
        <v>1117000</v>
      </c>
      <c r="T939" s="34">
        <v>0</v>
      </c>
      <c r="U939" s="34">
        <v>0</v>
      </c>
      <c r="V939" s="34"/>
      <c r="W939" s="34"/>
      <c r="X939" s="34"/>
      <c r="Y939" s="34"/>
      <c r="Z939" s="34">
        <v>0</v>
      </c>
      <c r="AA939" s="34">
        <f>AB939/365*167</f>
        <v>38329.931506849316</v>
      </c>
      <c r="AB939" s="8">
        <f>N939*7.5/100</f>
        <v>83775</v>
      </c>
      <c r="AC939" s="4">
        <f t="shared" si="285"/>
        <v>83775</v>
      </c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</row>
    <row r="940" spans="1:61" s="37" customFormat="1" ht="27.6" customHeight="1" x14ac:dyDescent="0.2">
      <c r="A940" s="9">
        <v>926</v>
      </c>
      <c r="B940" s="58" t="s">
        <v>660</v>
      </c>
      <c r="C940" s="9" t="s">
        <v>473</v>
      </c>
      <c r="D940" s="71">
        <v>2959000</v>
      </c>
      <c r="E940" s="9"/>
      <c r="F940" s="9"/>
      <c r="G940" s="62"/>
      <c r="H940" s="54">
        <v>7.5</v>
      </c>
      <c r="I940" s="34"/>
      <c r="J940" s="34"/>
      <c r="K940" s="34"/>
      <c r="L940" s="34"/>
      <c r="M940" s="34">
        <v>0</v>
      </c>
      <c r="N940" s="34">
        <f t="shared" si="281"/>
        <v>2959000</v>
      </c>
      <c r="O940" s="34"/>
      <c r="P940" s="34"/>
      <c r="Q940" s="34"/>
      <c r="R940" s="34"/>
      <c r="S940" s="34">
        <f t="shared" si="289"/>
        <v>2959000</v>
      </c>
      <c r="T940" s="34">
        <v>0</v>
      </c>
      <c r="U940" s="34">
        <v>0</v>
      </c>
      <c r="V940" s="34"/>
      <c r="W940" s="34"/>
      <c r="X940" s="34"/>
      <c r="Y940" s="34"/>
      <c r="Z940" s="34">
        <v>0</v>
      </c>
      <c r="AA940" s="34">
        <f t="shared" ref="AA940:AA941" si="291">AB940/365*167</f>
        <v>101538.28767123289</v>
      </c>
      <c r="AB940" s="8">
        <f t="shared" ref="AB940:AB944" si="292">N940*7.5/100</f>
        <v>221925</v>
      </c>
      <c r="AC940" s="4">
        <f t="shared" si="285"/>
        <v>221925</v>
      </c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</row>
    <row r="941" spans="1:61" s="37" customFormat="1" ht="27.6" customHeight="1" x14ac:dyDescent="0.2">
      <c r="A941" s="9">
        <v>927</v>
      </c>
      <c r="B941" s="58" t="s">
        <v>660</v>
      </c>
      <c r="C941" s="9" t="s">
        <v>473</v>
      </c>
      <c r="D941" s="71">
        <v>4386000</v>
      </c>
      <c r="E941" s="9"/>
      <c r="F941" s="9"/>
      <c r="G941" s="62"/>
      <c r="H941" s="54">
        <v>7.5</v>
      </c>
      <c r="I941" s="34"/>
      <c r="J941" s="34"/>
      <c r="K941" s="34"/>
      <c r="L941" s="34"/>
      <c r="M941" s="34">
        <v>0</v>
      </c>
      <c r="N941" s="34">
        <f t="shared" si="281"/>
        <v>4386000</v>
      </c>
      <c r="O941" s="34"/>
      <c r="P941" s="34"/>
      <c r="Q941" s="34"/>
      <c r="R941" s="34"/>
      <c r="S941" s="34">
        <f t="shared" si="289"/>
        <v>4386000</v>
      </c>
      <c r="T941" s="34">
        <v>0</v>
      </c>
      <c r="U941" s="34">
        <v>0</v>
      </c>
      <c r="V941" s="34"/>
      <c r="W941" s="34"/>
      <c r="X941" s="34"/>
      <c r="Y941" s="34"/>
      <c r="Z941" s="34">
        <v>0</v>
      </c>
      <c r="AA941" s="34">
        <f t="shared" si="291"/>
        <v>150505.89041095891</v>
      </c>
      <c r="AB941" s="8">
        <f t="shared" si="292"/>
        <v>328950</v>
      </c>
      <c r="AC941" s="4">
        <f t="shared" si="285"/>
        <v>328950</v>
      </c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</row>
    <row r="942" spans="1:61" s="37" customFormat="1" ht="27.6" customHeight="1" x14ac:dyDescent="0.2">
      <c r="A942" s="9">
        <v>928</v>
      </c>
      <c r="B942" s="58" t="s">
        <v>660</v>
      </c>
      <c r="C942" s="9" t="s">
        <v>473</v>
      </c>
      <c r="D942" s="71">
        <v>7775000</v>
      </c>
      <c r="E942" s="9"/>
      <c r="F942" s="9"/>
      <c r="G942" s="62"/>
      <c r="H942" s="54">
        <v>7.5</v>
      </c>
      <c r="I942" s="34"/>
      <c r="J942" s="34"/>
      <c r="K942" s="34"/>
      <c r="L942" s="34"/>
      <c r="M942" s="34">
        <v>0</v>
      </c>
      <c r="N942" s="34">
        <f t="shared" si="281"/>
        <v>7775000</v>
      </c>
      <c r="O942" s="34"/>
      <c r="P942" s="34"/>
      <c r="Q942" s="34"/>
      <c r="R942" s="34"/>
      <c r="S942" s="34">
        <f t="shared" si="289"/>
        <v>7775000</v>
      </c>
      <c r="T942" s="34">
        <v>0</v>
      </c>
      <c r="U942" s="34">
        <v>0</v>
      </c>
      <c r="V942" s="34"/>
      <c r="W942" s="34"/>
      <c r="X942" s="34"/>
      <c r="Y942" s="34"/>
      <c r="Z942" s="34">
        <v>0</v>
      </c>
      <c r="AA942" s="34">
        <f>AB942/365*167</f>
        <v>266799.65753424657</v>
      </c>
      <c r="AB942" s="8">
        <f>N942*7.5/100</f>
        <v>583125</v>
      </c>
      <c r="AC942" s="4">
        <f t="shared" si="285"/>
        <v>583125</v>
      </c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</row>
    <row r="943" spans="1:61" s="37" customFormat="1" ht="27.6" customHeight="1" x14ac:dyDescent="0.2">
      <c r="A943" s="9">
        <v>929</v>
      </c>
      <c r="B943" s="58" t="s">
        <v>662</v>
      </c>
      <c r="C943" s="9" t="s">
        <v>473</v>
      </c>
      <c r="D943" s="71">
        <v>9349000</v>
      </c>
      <c r="E943" s="9"/>
      <c r="F943" s="9"/>
      <c r="G943" s="62"/>
      <c r="H943" s="54">
        <v>7.5</v>
      </c>
      <c r="I943" s="34"/>
      <c r="J943" s="34"/>
      <c r="K943" s="34"/>
      <c r="L943" s="34"/>
      <c r="M943" s="34">
        <v>0</v>
      </c>
      <c r="N943" s="34">
        <f t="shared" si="281"/>
        <v>9349000</v>
      </c>
      <c r="O943" s="34"/>
      <c r="P943" s="34"/>
      <c r="Q943" s="34"/>
      <c r="R943" s="34"/>
      <c r="S943" s="34">
        <f t="shared" si="289"/>
        <v>9349000</v>
      </c>
      <c r="T943" s="34">
        <v>0</v>
      </c>
      <c r="U943" s="34">
        <v>0</v>
      </c>
      <c r="V943" s="34"/>
      <c r="W943" s="34"/>
      <c r="X943" s="34"/>
      <c r="Y943" s="34"/>
      <c r="Z943" s="34">
        <v>0</v>
      </c>
      <c r="AA943" s="34">
        <f>AB943/365*154</f>
        <v>295838.21917808219</v>
      </c>
      <c r="AB943" s="8">
        <f t="shared" si="292"/>
        <v>701175</v>
      </c>
      <c r="AC943" s="4">
        <f t="shared" si="285"/>
        <v>701175</v>
      </c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</row>
    <row r="944" spans="1:61" s="37" customFormat="1" ht="27.6" customHeight="1" x14ac:dyDescent="0.2">
      <c r="A944" s="9">
        <v>930</v>
      </c>
      <c r="B944" s="58" t="s">
        <v>662</v>
      </c>
      <c r="C944" s="9" t="s">
        <v>473</v>
      </c>
      <c r="D944" s="71">
        <v>162050000</v>
      </c>
      <c r="E944" s="9"/>
      <c r="F944" s="9"/>
      <c r="G944" s="62"/>
      <c r="H944" s="54">
        <v>7.5</v>
      </c>
      <c r="I944" s="34"/>
      <c r="J944" s="34"/>
      <c r="K944" s="34"/>
      <c r="L944" s="34"/>
      <c r="M944" s="34">
        <v>0</v>
      </c>
      <c r="N944" s="34">
        <f t="shared" ref="N944:N981" si="293">D944</f>
        <v>162050000</v>
      </c>
      <c r="O944" s="34"/>
      <c r="P944" s="34"/>
      <c r="Q944" s="34"/>
      <c r="R944" s="34"/>
      <c r="S944" s="34">
        <f t="shared" si="289"/>
        <v>162050000</v>
      </c>
      <c r="T944" s="34">
        <v>0</v>
      </c>
      <c r="U944" s="34">
        <v>0</v>
      </c>
      <c r="V944" s="34"/>
      <c r="W944" s="34"/>
      <c r="X944" s="34"/>
      <c r="Y944" s="34"/>
      <c r="Z944" s="34">
        <v>0</v>
      </c>
      <c r="AA944" s="34">
        <f>AB944/365*154</f>
        <v>5127883.5616438361</v>
      </c>
      <c r="AB944" s="8">
        <f t="shared" si="292"/>
        <v>12153750</v>
      </c>
      <c r="AC944" s="4">
        <f t="shared" si="285"/>
        <v>12153750</v>
      </c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</row>
    <row r="945" spans="1:61" s="37" customFormat="1" ht="27.6" customHeight="1" x14ac:dyDescent="0.2">
      <c r="A945" s="9">
        <v>931</v>
      </c>
      <c r="B945" s="58" t="s">
        <v>663</v>
      </c>
      <c r="C945" s="9" t="s">
        <v>473</v>
      </c>
      <c r="D945" s="71">
        <v>114863000</v>
      </c>
      <c r="E945" s="9"/>
      <c r="F945" s="9"/>
      <c r="G945" s="62"/>
      <c r="H945" s="54">
        <v>7.25</v>
      </c>
      <c r="I945" s="34"/>
      <c r="J945" s="34"/>
      <c r="K945" s="34"/>
      <c r="L945" s="34"/>
      <c r="M945" s="34">
        <v>0</v>
      </c>
      <c r="N945" s="34">
        <f t="shared" si="293"/>
        <v>114863000</v>
      </c>
      <c r="O945" s="34"/>
      <c r="P945" s="34"/>
      <c r="Q945" s="34"/>
      <c r="R945" s="34"/>
      <c r="S945" s="34">
        <f t="shared" si="289"/>
        <v>114863000</v>
      </c>
      <c r="T945" s="34">
        <v>0</v>
      </c>
      <c r="U945" s="34">
        <v>0</v>
      </c>
      <c r="V945" s="34"/>
      <c r="W945" s="34"/>
      <c r="X945" s="34"/>
      <c r="Y945" s="34"/>
      <c r="Z945" s="34">
        <v>0</v>
      </c>
      <c r="AA945" s="34">
        <f>AB945/365*153</f>
        <v>3490733.7739726026</v>
      </c>
      <c r="AB945" s="8">
        <f>N945*7.25/100</f>
        <v>8327567.5</v>
      </c>
      <c r="AC945" s="4">
        <f t="shared" si="285"/>
        <v>8327567.4999999991</v>
      </c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</row>
    <row r="946" spans="1:61" s="37" customFormat="1" ht="27.6" customHeight="1" x14ac:dyDescent="0.2">
      <c r="A946" s="9">
        <v>932</v>
      </c>
      <c r="B946" s="58" t="s">
        <v>663</v>
      </c>
      <c r="C946" s="9" t="s">
        <v>473</v>
      </c>
      <c r="D946" s="71">
        <v>95540000</v>
      </c>
      <c r="E946" s="9"/>
      <c r="F946" s="9"/>
      <c r="G946" s="62"/>
      <c r="H946" s="54">
        <v>7.25</v>
      </c>
      <c r="I946" s="34"/>
      <c r="J946" s="34"/>
      <c r="K946" s="34"/>
      <c r="L946" s="34"/>
      <c r="M946" s="34">
        <v>0</v>
      </c>
      <c r="N946" s="34">
        <f t="shared" si="293"/>
        <v>95540000</v>
      </c>
      <c r="O946" s="34"/>
      <c r="P946" s="34"/>
      <c r="Q946" s="34"/>
      <c r="R946" s="34"/>
      <c r="S946" s="34">
        <f t="shared" si="289"/>
        <v>95540000</v>
      </c>
      <c r="T946" s="34">
        <v>0</v>
      </c>
      <c r="U946" s="34">
        <v>0</v>
      </c>
      <c r="V946" s="34"/>
      <c r="W946" s="34"/>
      <c r="X946" s="34"/>
      <c r="Y946" s="34"/>
      <c r="Z946" s="34">
        <v>0</v>
      </c>
      <c r="AA946" s="34">
        <f>AB946/365*153</f>
        <v>2903499.8630136983</v>
      </c>
      <c r="AB946" s="8">
        <f>N946*7.25/100</f>
        <v>6926650</v>
      </c>
      <c r="AC946" s="4">
        <f t="shared" si="285"/>
        <v>6926649.9999999991</v>
      </c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</row>
    <row r="947" spans="1:61" s="37" customFormat="1" ht="27.6" customHeight="1" x14ac:dyDescent="0.2">
      <c r="A947" s="9">
        <v>933</v>
      </c>
      <c r="B947" s="58" t="s">
        <v>664</v>
      </c>
      <c r="C947" s="9" t="s">
        <v>473</v>
      </c>
      <c r="D947" s="71">
        <v>19243000</v>
      </c>
      <c r="E947" s="9"/>
      <c r="F947" s="9"/>
      <c r="G947" s="62"/>
      <c r="H947" s="54">
        <v>7.25</v>
      </c>
      <c r="I947" s="34"/>
      <c r="J947" s="34"/>
      <c r="K947" s="34"/>
      <c r="L947" s="34"/>
      <c r="M947" s="34">
        <v>0</v>
      </c>
      <c r="N947" s="34">
        <f t="shared" si="293"/>
        <v>19243000</v>
      </c>
      <c r="O947" s="34"/>
      <c r="P947" s="34"/>
      <c r="Q947" s="34"/>
      <c r="R947" s="34"/>
      <c r="S947" s="34">
        <f t="shared" si="289"/>
        <v>19243000</v>
      </c>
      <c r="T947" s="34">
        <v>0</v>
      </c>
      <c r="U947" s="34">
        <v>0</v>
      </c>
      <c r="V947" s="34"/>
      <c r="W947" s="34"/>
      <c r="X947" s="34"/>
      <c r="Y947" s="34"/>
      <c r="Z947" s="34">
        <v>0</v>
      </c>
      <c r="AA947" s="34">
        <f>AB947/365*148</f>
        <v>565691.47945205483</v>
      </c>
      <c r="AB947" s="8">
        <f>N947*7.25/100</f>
        <v>1395117.5</v>
      </c>
      <c r="AC947" s="4">
        <f t="shared" si="285"/>
        <v>1395117.5</v>
      </c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</row>
    <row r="948" spans="1:61" s="37" customFormat="1" ht="27.6" customHeight="1" x14ac:dyDescent="0.2">
      <c r="A948" s="9">
        <v>934</v>
      </c>
      <c r="B948" s="58" t="s">
        <v>664</v>
      </c>
      <c r="C948" s="9" t="s">
        <v>473</v>
      </c>
      <c r="D948" s="71">
        <v>17034000</v>
      </c>
      <c r="E948" s="9"/>
      <c r="F948" s="9"/>
      <c r="G948" s="62"/>
      <c r="H948" s="54">
        <v>7.25</v>
      </c>
      <c r="I948" s="34"/>
      <c r="J948" s="34"/>
      <c r="K948" s="34"/>
      <c r="L948" s="34"/>
      <c r="M948" s="34">
        <v>0</v>
      </c>
      <c r="N948" s="34">
        <f t="shared" si="293"/>
        <v>17034000</v>
      </c>
      <c r="O948" s="34"/>
      <c r="P948" s="34"/>
      <c r="Q948" s="34"/>
      <c r="R948" s="34"/>
      <c r="S948" s="34">
        <f t="shared" si="289"/>
        <v>17034000</v>
      </c>
      <c r="T948" s="34">
        <v>0</v>
      </c>
      <c r="U948" s="34">
        <v>0</v>
      </c>
      <c r="V948" s="34"/>
      <c r="W948" s="34"/>
      <c r="X948" s="34"/>
      <c r="Y948" s="34"/>
      <c r="Z948" s="34">
        <v>0</v>
      </c>
      <c r="AA948" s="34">
        <f t="shared" ref="AA948" si="294">AB948/365*148</f>
        <v>500752.9315068493</v>
      </c>
      <c r="AB948" s="8">
        <f t="shared" ref="AB948:AB958" si="295">N948*7.25/100</f>
        <v>1234965</v>
      </c>
      <c r="AC948" s="4">
        <f t="shared" si="285"/>
        <v>1234965</v>
      </c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</row>
    <row r="949" spans="1:61" s="37" customFormat="1" ht="27.6" customHeight="1" x14ac:dyDescent="0.2">
      <c r="A949" s="9">
        <v>935</v>
      </c>
      <c r="B949" s="58" t="s">
        <v>665</v>
      </c>
      <c r="C949" s="9" t="s">
        <v>473</v>
      </c>
      <c r="D949" s="71">
        <v>74204000</v>
      </c>
      <c r="E949" s="9"/>
      <c r="F949" s="9"/>
      <c r="G949" s="62"/>
      <c r="H949" s="54">
        <v>7.25</v>
      </c>
      <c r="I949" s="34"/>
      <c r="J949" s="34"/>
      <c r="K949" s="34"/>
      <c r="L949" s="34"/>
      <c r="M949" s="34">
        <v>0</v>
      </c>
      <c r="N949" s="34">
        <f t="shared" si="293"/>
        <v>74204000</v>
      </c>
      <c r="O949" s="34"/>
      <c r="P949" s="34"/>
      <c r="Q949" s="34"/>
      <c r="R949" s="34"/>
      <c r="S949" s="34">
        <f t="shared" si="289"/>
        <v>74204000</v>
      </c>
      <c r="T949" s="34">
        <v>0</v>
      </c>
      <c r="U949" s="34">
        <v>0</v>
      </c>
      <c r="V949" s="34"/>
      <c r="W949" s="34"/>
      <c r="X949" s="34"/>
      <c r="Y949" s="34"/>
      <c r="Z949" s="34">
        <v>0</v>
      </c>
      <c r="AA949" s="34">
        <f>AB949/365*127</f>
        <v>1871872.1369863013</v>
      </c>
      <c r="AB949" s="8">
        <f t="shared" si="295"/>
        <v>5379790</v>
      </c>
      <c r="AC949" s="4">
        <f t="shared" si="285"/>
        <v>5379790</v>
      </c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</row>
    <row r="950" spans="1:61" s="37" customFormat="1" ht="27.6" customHeight="1" x14ac:dyDescent="0.2">
      <c r="A950" s="9">
        <v>936</v>
      </c>
      <c r="B950" s="58" t="s">
        <v>666</v>
      </c>
      <c r="C950" s="9" t="s">
        <v>473</v>
      </c>
      <c r="D950" s="71">
        <v>4057000</v>
      </c>
      <c r="E950" s="9"/>
      <c r="F950" s="9"/>
      <c r="G950" s="62"/>
      <c r="H950" s="54">
        <v>7.25</v>
      </c>
      <c r="I950" s="34"/>
      <c r="J950" s="34"/>
      <c r="K950" s="34"/>
      <c r="L950" s="34"/>
      <c r="M950" s="34">
        <v>0</v>
      </c>
      <c r="N950" s="34">
        <f t="shared" si="293"/>
        <v>4057000</v>
      </c>
      <c r="O950" s="34"/>
      <c r="P950" s="34"/>
      <c r="Q950" s="34"/>
      <c r="R950" s="34"/>
      <c r="S950" s="34">
        <f t="shared" si="289"/>
        <v>4057000</v>
      </c>
      <c r="T950" s="34">
        <v>0</v>
      </c>
      <c r="U950" s="34">
        <v>0</v>
      </c>
      <c r="V950" s="34"/>
      <c r="W950" s="34"/>
      <c r="X950" s="34"/>
      <c r="Y950" s="34"/>
      <c r="Z950" s="34">
        <v>0</v>
      </c>
      <c r="AA950" s="34">
        <f>AB950/365*122</f>
        <v>98312.780821917811</v>
      </c>
      <c r="AB950" s="8">
        <f t="shared" si="295"/>
        <v>294132.5</v>
      </c>
      <c r="AC950" s="4">
        <f t="shared" si="285"/>
        <v>294132.5</v>
      </c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</row>
    <row r="951" spans="1:61" s="37" customFormat="1" ht="27.6" customHeight="1" x14ac:dyDescent="0.2">
      <c r="A951" s="9">
        <v>937</v>
      </c>
      <c r="B951" s="58" t="s">
        <v>666</v>
      </c>
      <c r="C951" s="9" t="s">
        <v>473</v>
      </c>
      <c r="D951" s="71">
        <v>1231000</v>
      </c>
      <c r="E951" s="9"/>
      <c r="F951" s="9"/>
      <c r="G951" s="62"/>
      <c r="H951" s="54">
        <v>7.25</v>
      </c>
      <c r="I951" s="34"/>
      <c r="J951" s="34"/>
      <c r="K951" s="34"/>
      <c r="L951" s="34"/>
      <c r="M951" s="34">
        <v>0</v>
      </c>
      <c r="N951" s="34">
        <f t="shared" si="293"/>
        <v>1231000</v>
      </c>
      <c r="O951" s="34"/>
      <c r="P951" s="34"/>
      <c r="Q951" s="34"/>
      <c r="R951" s="34"/>
      <c r="S951" s="34">
        <f t="shared" si="289"/>
        <v>1231000</v>
      </c>
      <c r="T951" s="34">
        <v>0</v>
      </c>
      <c r="U951" s="34">
        <v>0</v>
      </c>
      <c r="V951" s="34"/>
      <c r="W951" s="34"/>
      <c r="X951" s="34"/>
      <c r="Y951" s="34"/>
      <c r="Z951" s="34">
        <v>0</v>
      </c>
      <c r="AA951" s="34">
        <f t="shared" ref="AA951:AA952" si="296">AB951/365*122</f>
        <v>29830.671232876713</v>
      </c>
      <c r="AB951" s="8">
        <f t="shared" si="295"/>
        <v>89247.5</v>
      </c>
      <c r="AC951" s="4">
        <f t="shared" si="285"/>
        <v>89247.5</v>
      </c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</row>
    <row r="952" spans="1:61" s="37" customFormat="1" ht="27.6" customHeight="1" x14ac:dyDescent="0.2">
      <c r="A952" s="9">
        <v>938</v>
      </c>
      <c r="B952" s="58" t="s">
        <v>666</v>
      </c>
      <c r="C952" s="9" t="s">
        <v>473</v>
      </c>
      <c r="D952" s="71">
        <v>42847000</v>
      </c>
      <c r="E952" s="9"/>
      <c r="F952" s="9"/>
      <c r="G952" s="62"/>
      <c r="H952" s="54">
        <v>7.25</v>
      </c>
      <c r="I952" s="34"/>
      <c r="J952" s="34"/>
      <c r="K952" s="34"/>
      <c r="L952" s="34"/>
      <c r="M952" s="34">
        <v>0</v>
      </c>
      <c r="N952" s="34">
        <f t="shared" si="293"/>
        <v>42847000</v>
      </c>
      <c r="O952" s="34"/>
      <c r="P952" s="34"/>
      <c r="Q952" s="34"/>
      <c r="R952" s="34"/>
      <c r="S952" s="34">
        <f t="shared" si="289"/>
        <v>42847000</v>
      </c>
      <c r="T952" s="34">
        <v>0</v>
      </c>
      <c r="U952" s="34">
        <v>0</v>
      </c>
      <c r="V952" s="34"/>
      <c r="W952" s="34"/>
      <c r="X952" s="34"/>
      <c r="Y952" s="34"/>
      <c r="Z952" s="34">
        <v>0</v>
      </c>
      <c r="AA952" s="34">
        <f t="shared" si="296"/>
        <v>1038306.0684931508</v>
      </c>
      <c r="AB952" s="8">
        <f t="shared" si="295"/>
        <v>3106407.5</v>
      </c>
      <c r="AC952" s="4">
        <f t="shared" si="285"/>
        <v>3106407.5</v>
      </c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</row>
    <row r="953" spans="1:61" s="37" customFormat="1" ht="27.6" customHeight="1" x14ac:dyDescent="0.2">
      <c r="A953" s="9">
        <v>939</v>
      </c>
      <c r="B953" s="58" t="s">
        <v>669</v>
      </c>
      <c r="C953" s="9" t="s">
        <v>473</v>
      </c>
      <c r="D953" s="71">
        <v>1293000</v>
      </c>
      <c r="E953" s="9"/>
      <c r="F953" s="9"/>
      <c r="G953" s="62"/>
      <c r="H953" s="54">
        <v>7.25</v>
      </c>
      <c r="I953" s="34"/>
      <c r="J953" s="34"/>
      <c r="K953" s="34"/>
      <c r="L953" s="34"/>
      <c r="M953" s="34">
        <v>0</v>
      </c>
      <c r="N953" s="34">
        <f t="shared" si="293"/>
        <v>1293000</v>
      </c>
      <c r="O953" s="34"/>
      <c r="P953" s="34"/>
      <c r="Q953" s="34"/>
      <c r="R953" s="34"/>
      <c r="S953" s="34">
        <f t="shared" si="289"/>
        <v>1293000</v>
      </c>
      <c r="T953" s="34">
        <v>0</v>
      </c>
      <c r="U953" s="34">
        <v>0</v>
      </c>
      <c r="V953" s="34"/>
      <c r="W953" s="34"/>
      <c r="X953" s="34"/>
      <c r="Y953" s="34"/>
      <c r="Z953" s="34">
        <v>0</v>
      </c>
      <c r="AA953" s="34">
        <f>AB953/365*97</f>
        <v>24912.390410958902</v>
      </c>
      <c r="AB953" s="8">
        <f t="shared" si="295"/>
        <v>93742.5</v>
      </c>
      <c r="AC953" s="4">
        <f t="shared" si="285"/>
        <v>93742.5</v>
      </c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</row>
    <row r="954" spans="1:61" s="37" customFormat="1" ht="27.6" customHeight="1" x14ac:dyDescent="0.2">
      <c r="A954" s="9">
        <v>940</v>
      </c>
      <c r="B954" s="58" t="s">
        <v>669</v>
      </c>
      <c r="C954" s="9" t="s">
        <v>473</v>
      </c>
      <c r="D954" s="71">
        <v>1674000</v>
      </c>
      <c r="E954" s="9"/>
      <c r="F954" s="9"/>
      <c r="G954" s="62"/>
      <c r="H954" s="54">
        <v>7.25</v>
      </c>
      <c r="I954" s="34"/>
      <c r="J954" s="34"/>
      <c r="K954" s="34"/>
      <c r="L954" s="34"/>
      <c r="M954" s="34">
        <v>0</v>
      </c>
      <c r="N954" s="34">
        <f t="shared" si="293"/>
        <v>1674000</v>
      </c>
      <c r="O954" s="34"/>
      <c r="P954" s="34"/>
      <c r="Q954" s="34"/>
      <c r="R954" s="34"/>
      <c r="S954" s="34">
        <f t="shared" si="289"/>
        <v>1674000</v>
      </c>
      <c r="T954" s="34">
        <v>0</v>
      </c>
      <c r="U954" s="34">
        <v>0</v>
      </c>
      <c r="V954" s="34"/>
      <c r="W954" s="34"/>
      <c r="X954" s="34"/>
      <c r="Y954" s="34"/>
      <c r="Z954" s="34">
        <v>0</v>
      </c>
      <c r="AA954" s="34">
        <f t="shared" ref="AA954" si="297">AB954/365*97</f>
        <v>32253.164383561645</v>
      </c>
      <c r="AB954" s="8">
        <f t="shared" si="295"/>
        <v>121365</v>
      </c>
      <c r="AC954" s="4">
        <f t="shared" si="285"/>
        <v>121364.99999999999</v>
      </c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</row>
    <row r="955" spans="1:61" s="37" customFormat="1" ht="27.6" customHeight="1" x14ac:dyDescent="0.2">
      <c r="A955" s="9">
        <v>941</v>
      </c>
      <c r="B955" s="58" t="s">
        <v>671</v>
      </c>
      <c r="C955" s="9" t="s">
        <v>473</v>
      </c>
      <c r="D955" s="71">
        <v>15746000</v>
      </c>
      <c r="E955" s="9"/>
      <c r="F955" s="9"/>
      <c r="G955" s="62"/>
      <c r="H955" s="54">
        <v>7.25</v>
      </c>
      <c r="I955" s="34"/>
      <c r="J955" s="34"/>
      <c r="K955" s="34"/>
      <c r="L955" s="34"/>
      <c r="M955" s="34">
        <v>0</v>
      </c>
      <c r="N955" s="34">
        <f t="shared" si="293"/>
        <v>15746000</v>
      </c>
      <c r="O955" s="34"/>
      <c r="P955" s="34"/>
      <c r="Q955" s="34"/>
      <c r="R955" s="34"/>
      <c r="S955" s="34">
        <f t="shared" si="289"/>
        <v>15746000</v>
      </c>
      <c r="T955" s="34">
        <v>0</v>
      </c>
      <c r="U955" s="34">
        <v>0</v>
      </c>
      <c r="V955" s="34"/>
      <c r="W955" s="34"/>
      <c r="X955" s="34"/>
      <c r="Y955" s="34"/>
      <c r="Z955" s="34">
        <v>0</v>
      </c>
      <c r="AA955" s="34">
        <f>AB955/365*84</f>
        <v>262720.9315068493</v>
      </c>
      <c r="AB955" s="8">
        <f t="shared" si="295"/>
        <v>1141585</v>
      </c>
      <c r="AC955" s="4">
        <f t="shared" si="285"/>
        <v>1141585</v>
      </c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</row>
    <row r="956" spans="1:61" s="37" customFormat="1" ht="27.6" customHeight="1" x14ac:dyDescent="0.2">
      <c r="A956" s="9">
        <v>942</v>
      </c>
      <c r="B956" s="58" t="s">
        <v>671</v>
      </c>
      <c r="C956" s="9" t="s">
        <v>473</v>
      </c>
      <c r="D956" s="71">
        <v>15265000</v>
      </c>
      <c r="E956" s="9"/>
      <c r="F956" s="9"/>
      <c r="G956" s="62"/>
      <c r="H956" s="54">
        <v>7.25</v>
      </c>
      <c r="I956" s="34"/>
      <c r="J956" s="34"/>
      <c r="K956" s="34"/>
      <c r="L956" s="34"/>
      <c r="M956" s="34">
        <v>0</v>
      </c>
      <c r="N956" s="34">
        <f t="shared" si="293"/>
        <v>15265000</v>
      </c>
      <c r="O956" s="34"/>
      <c r="P956" s="34"/>
      <c r="Q956" s="34"/>
      <c r="R956" s="34"/>
      <c r="S956" s="34">
        <f t="shared" si="289"/>
        <v>15265000</v>
      </c>
      <c r="T956" s="34">
        <v>0</v>
      </c>
      <c r="U956" s="34">
        <v>0</v>
      </c>
      <c r="V956" s="34"/>
      <c r="W956" s="34"/>
      <c r="X956" s="34"/>
      <c r="Y956" s="34"/>
      <c r="Z956" s="34">
        <v>0</v>
      </c>
      <c r="AA956" s="34">
        <f t="shared" ref="AA956:AA958" si="298">AB956/365*84</f>
        <v>254695.4794520548</v>
      </c>
      <c r="AB956" s="8">
        <f t="shared" si="295"/>
        <v>1106712.5</v>
      </c>
      <c r="AC956" s="4">
        <f t="shared" si="285"/>
        <v>1106712.5</v>
      </c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</row>
    <row r="957" spans="1:61" s="37" customFormat="1" ht="27.6" customHeight="1" x14ac:dyDescent="0.2">
      <c r="A957" s="9">
        <v>943</v>
      </c>
      <c r="B957" s="58" t="s">
        <v>671</v>
      </c>
      <c r="C957" s="9" t="s">
        <v>473</v>
      </c>
      <c r="D957" s="71">
        <v>1777000</v>
      </c>
      <c r="E957" s="9"/>
      <c r="F957" s="9"/>
      <c r="G957" s="62"/>
      <c r="H957" s="54">
        <v>7.25</v>
      </c>
      <c r="I957" s="34"/>
      <c r="J957" s="34"/>
      <c r="K957" s="34"/>
      <c r="L957" s="34"/>
      <c r="M957" s="34">
        <v>0</v>
      </c>
      <c r="N957" s="34">
        <f t="shared" si="293"/>
        <v>1777000</v>
      </c>
      <c r="O957" s="34"/>
      <c r="P957" s="34"/>
      <c r="Q957" s="34"/>
      <c r="R957" s="34"/>
      <c r="S957" s="34">
        <f t="shared" si="289"/>
        <v>1777000</v>
      </c>
      <c r="T957" s="34">
        <v>0</v>
      </c>
      <c r="U957" s="34">
        <v>0</v>
      </c>
      <c r="V957" s="34"/>
      <c r="W957" s="34"/>
      <c r="X957" s="34"/>
      <c r="Y957" s="34"/>
      <c r="Z957" s="34">
        <v>0</v>
      </c>
      <c r="AA957" s="34">
        <f t="shared" si="298"/>
        <v>29649.123287671231</v>
      </c>
      <c r="AB957" s="8">
        <f t="shared" si="295"/>
        <v>128832.5</v>
      </c>
      <c r="AC957" s="4">
        <f t="shared" si="285"/>
        <v>128832.49999999999</v>
      </c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</row>
    <row r="958" spans="1:61" s="37" customFormat="1" ht="27.6" customHeight="1" x14ac:dyDescent="0.2">
      <c r="A958" s="9">
        <v>944</v>
      </c>
      <c r="B958" s="58" t="s">
        <v>671</v>
      </c>
      <c r="C958" s="9" t="s">
        <v>473</v>
      </c>
      <c r="D958" s="71">
        <v>5336000</v>
      </c>
      <c r="E958" s="9"/>
      <c r="F958" s="9"/>
      <c r="G958" s="62"/>
      <c r="H958" s="54">
        <v>7.25</v>
      </c>
      <c r="I958" s="34"/>
      <c r="J958" s="34"/>
      <c r="K958" s="34"/>
      <c r="L958" s="34"/>
      <c r="M958" s="34">
        <v>0</v>
      </c>
      <c r="N958" s="34">
        <f t="shared" si="293"/>
        <v>5336000</v>
      </c>
      <c r="O958" s="34"/>
      <c r="P958" s="34"/>
      <c r="Q958" s="34"/>
      <c r="R958" s="34"/>
      <c r="S958" s="34">
        <f t="shared" si="289"/>
        <v>5336000</v>
      </c>
      <c r="T958" s="34">
        <v>0</v>
      </c>
      <c r="U958" s="34">
        <v>0</v>
      </c>
      <c r="V958" s="34"/>
      <c r="W958" s="34"/>
      <c r="X958" s="34"/>
      <c r="Y958" s="34"/>
      <c r="Z958" s="34">
        <v>0</v>
      </c>
      <c r="AA958" s="34">
        <f t="shared" si="298"/>
        <v>89030.794520547948</v>
      </c>
      <c r="AB958" s="8">
        <f t="shared" si="295"/>
        <v>386860</v>
      </c>
      <c r="AC958" s="4">
        <f t="shared" si="285"/>
        <v>386860</v>
      </c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</row>
    <row r="959" spans="1:61" s="37" customFormat="1" ht="27.6" customHeight="1" x14ac:dyDescent="0.2">
      <c r="A959" s="9">
        <v>945</v>
      </c>
      <c r="B959" s="58" t="s">
        <v>624</v>
      </c>
      <c r="C959" s="9" t="s">
        <v>473</v>
      </c>
      <c r="D959" s="71">
        <v>2418000</v>
      </c>
      <c r="E959" s="9"/>
      <c r="F959" s="9"/>
      <c r="G959" s="62"/>
      <c r="H959" s="54">
        <v>7.25</v>
      </c>
      <c r="I959" s="34"/>
      <c r="J959" s="34"/>
      <c r="K959" s="34"/>
      <c r="L959" s="34"/>
      <c r="M959" s="34">
        <v>0</v>
      </c>
      <c r="N959" s="34">
        <f t="shared" si="293"/>
        <v>2418000</v>
      </c>
      <c r="O959" s="34"/>
      <c r="P959" s="34"/>
      <c r="Q959" s="34"/>
      <c r="R959" s="34"/>
      <c r="S959" s="34">
        <f t="shared" si="289"/>
        <v>2418000</v>
      </c>
      <c r="T959" s="34">
        <v>0</v>
      </c>
      <c r="U959" s="34">
        <v>0</v>
      </c>
      <c r="V959" s="34"/>
      <c r="W959" s="34"/>
      <c r="X959" s="34"/>
      <c r="Y959" s="34"/>
      <c r="Z959" s="34">
        <v>0</v>
      </c>
      <c r="AA959" s="34">
        <f>AB959/365*77</f>
        <v>36982.150684931512</v>
      </c>
      <c r="AB959" s="8">
        <f>N959*7.25/100</f>
        <v>175305</v>
      </c>
      <c r="AC959" s="4">
        <f t="shared" si="285"/>
        <v>175305</v>
      </c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</row>
    <row r="960" spans="1:61" s="37" customFormat="1" ht="27.6" customHeight="1" x14ac:dyDescent="0.2">
      <c r="A960" s="9">
        <v>946</v>
      </c>
      <c r="B960" s="58" t="s">
        <v>673</v>
      </c>
      <c r="C960" s="9" t="s">
        <v>473</v>
      </c>
      <c r="D960" s="71">
        <v>4579000</v>
      </c>
      <c r="E960" s="9"/>
      <c r="F960" s="9"/>
      <c r="G960" s="62"/>
      <c r="H960" s="54">
        <v>7.25</v>
      </c>
      <c r="I960" s="34"/>
      <c r="J960" s="34"/>
      <c r="K960" s="34"/>
      <c r="L960" s="34"/>
      <c r="M960" s="34">
        <v>0</v>
      </c>
      <c r="N960" s="34">
        <f t="shared" si="293"/>
        <v>4579000</v>
      </c>
      <c r="O960" s="34"/>
      <c r="P960" s="34"/>
      <c r="Q960" s="34"/>
      <c r="R960" s="34"/>
      <c r="S960" s="34">
        <f t="shared" si="289"/>
        <v>4579000</v>
      </c>
      <c r="T960" s="34">
        <v>0</v>
      </c>
      <c r="U960" s="34">
        <v>0</v>
      </c>
      <c r="V960" s="34"/>
      <c r="W960" s="34"/>
      <c r="X960" s="34"/>
      <c r="Y960" s="34"/>
      <c r="Z960" s="34">
        <v>0</v>
      </c>
      <c r="AA960" s="34">
        <f>AB960/365*69</f>
        <v>62757.390410958906</v>
      </c>
      <c r="AB960" s="8">
        <f>N960*7.25/100</f>
        <v>331977.5</v>
      </c>
      <c r="AC960" s="4">
        <f t="shared" si="285"/>
        <v>331977.5</v>
      </c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</row>
    <row r="961" spans="1:61" s="37" customFormat="1" ht="27.6" customHeight="1" x14ac:dyDescent="0.2">
      <c r="A961" s="9">
        <v>947</v>
      </c>
      <c r="B961" s="58" t="s">
        <v>674</v>
      </c>
      <c r="C961" s="9" t="s">
        <v>473</v>
      </c>
      <c r="D961" s="71">
        <v>8384000</v>
      </c>
      <c r="E961" s="9"/>
      <c r="F961" s="9"/>
      <c r="G961" s="62"/>
      <c r="H961" s="54">
        <v>7.5</v>
      </c>
      <c r="I961" s="34"/>
      <c r="J961" s="34"/>
      <c r="K961" s="34"/>
      <c r="L961" s="34"/>
      <c r="M961" s="34">
        <v>0</v>
      </c>
      <c r="N961" s="34">
        <f t="shared" si="293"/>
        <v>8384000</v>
      </c>
      <c r="O961" s="34"/>
      <c r="P961" s="34"/>
      <c r="Q961" s="34"/>
      <c r="R961" s="34"/>
      <c r="S961" s="34">
        <f t="shared" si="289"/>
        <v>8384000</v>
      </c>
      <c r="T961" s="34">
        <v>0</v>
      </c>
      <c r="U961" s="34">
        <v>0</v>
      </c>
      <c r="V961" s="34"/>
      <c r="W961" s="34"/>
      <c r="X961" s="34"/>
      <c r="Y961" s="34"/>
      <c r="Z961" s="34">
        <v>0</v>
      </c>
      <c r="AA961" s="34">
        <f>AB961/365*65</f>
        <v>111978.08219178082</v>
      </c>
      <c r="AB961" s="8">
        <f>N961*7.5/100</f>
        <v>628800</v>
      </c>
      <c r="AC961" s="4">
        <f t="shared" si="285"/>
        <v>628800</v>
      </c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</row>
    <row r="962" spans="1:61" s="37" customFormat="1" ht="27.6" customHeight="1" x14ac:dyDescent="0.2">
      <c r="A962" s="9">
        <v>948</v>
      </c>
      <c r="B962" s="58" t="s">
        <v>674</v>
      </c>
      <c r="C962" s="9" t="s">
        <v>473</v>
      </c>
      <c r="D962" s="71">
        <v>1489000</v>
      </c>
      <c r="E962" s="9"/>
      <c r="F962" s="9"/>
      <c r="G962" s="62"/>
      <c r="H962" s="54">
        <v>7.5</v>
      </c>
      <c r="I962" s="34"/>
      <c r="J962" s="34"/>
      <c r="K962" s="34"/>
      <c r="L962" s="34"/>
      <c r="M962" s="34">
        <v>0</v>
      </c>
      <c r="N962" s="34">
        <f t="shared" si="293"/>
        <v>1489000</v>
      </c>
      <c r="O962" s="34"/>
      <c r="P962" s="34"/>
      <c r="Q962" s="34"/>
      <c r="R962" s="34"/>
      <c r="S962" s="34">
        <f t="shared" si="289"/>
        <v>1489000</v>
      </c>
      <c r="T962" s="34">
        <v>0</v>
      </c>
      <c r="U962" s="34">
        <v>0</v>
      </c>
      <c r="V962" s="34"/>
      <c r="W962" s="34"/>
      <c r="X962" s="34"/>
      <c r="Y962" s="34"/>
      <c r="Z962" s="34">
        <v>0</v>
      </c>
      <c r="AA962" s="34">
        <f t="shared" ref="AA962:AA965" si="299">AB962/365*65</f>
        <v>19887.328767123287</v>
      </c>
      <c r="AB962" s="8">
        <f t="shared" ref="AB962:AB966" si="300">N962*7.5/100</f>
        <v>111675</v>
      </c>
      <c r="AC962" s="4">
        <f t="shared" si="285"/>
        <v>111675</v>
      </c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</row>
    <row r="963" spans="1:61" s="37" customFormat="1" ht="27.6" customHeight="1" x14ac:dyDescent="0.2">
      <c r="A963" s="9">
        <v>949</v>
      </c>
      <c r="B963" s="58" t="s">
        <v>674</v>
      </c>
      <c r="C963" s="9" t="s">
        <v>473</v>
      </c>
      <c r="D963" s="71">
        <v>9320000</v>
      </c>
      <c r="E963" s="9"/>
      <c r="F963" s="9"/>
      <c r="G963" s="62"/>
      <c r="H963" s="54">
        <v>7.5</v>
      </c>
      <c r="I963" s="34"/>
      <c r="J963" s="34"/>
      <c r="K963" s="34"/>
      <c r="L963" s="34"/>
      <c r="M963" s="34">
        <v>0</v>
      </c>
      <c r="N963" s="34">
        <f t="shared" si="293"/>
        <v>9320000</v>
      </c>
      <c r="O963" s="34"/>
      <c r="P963" s="34"/>
      <c r="Q963" s="34"/>
      <c r="R963" s="34"/>
      <c r="S963" s="34">
        <f t="shared" si="289"/>
        <v>9320000</v>
      </c>
      <c r="T963" s="34">
        <v>0</v>
      </c>
      <c r="U963" s="34">
        <v>0</v>
      </c>
      <c r="V963" s="34"/>
      <c r="W963" s="34"/>
      <c r="X963" s="34"/>
      <c r="Y963" s="34"/>
      <c r="Z963" s="34">
        <v>0</v>
      </c>
      <c r="AA963" s="34">
        <f t="shared" si="299"/>
        <v>124479.45205479451</v>
      </c>
      <c r="AB963" s="8">
        <f t="shared" si="300"/>
        <v>699000</v>
      </c>
      <c r="AC963" s="4">
        <f t="shared" si="285"/>
        <v>699000</v>
      </c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</row>
    <row r="964" spans="1:61" s="37" customFormat="1" ht="27.6" customHeight="1" x14ac:dyDescent="0.2">
      <c r="A964" s="9">
        <v>950</v>
      </c>
      <c r="B964" s="58" t="s">
        <v>674</v>
      </c>
      <c r="C964" s="9" t="s">
        <v>473</v>
      </c>
      <c r="D964" s="71">
        <v>10274000</v>
      </c>
      <c r="E964" s="9"/>
      <c r="F964" s="9"/>
      <c r="G964" s="62"/>
      <c r="H964" s="54">
        <v>7.5</v>
      </c>
      <c r="I964" s="34"/>
      <c r="J964" s="34"/>
      <c r="K964" s="34"/>
      <c r="L964" s="34"/>
      <c r="M964" s="34">
        <v>0</v>
      </c>
      <c r="N964" s="34">
        <f t="shared" si="293"/>
        <v>10274000</v>
      </c>
      <c r="O964" s="34"/>
      <c r="P964" s="34"/>
      <c r="Q964" s="34"/>
      <c r="R964" s="34"/>
      <c r="S964" s="34">
        <f t="shared" si="289"/>
        <v>10274000</v>
      </c>
      <c r="T964" s="34">
        <v>0</v>
      </c>
      <c r="U964" s="34">
        <v>0</v>
      </c>
      <c r="V964" s="34"/>
      <c r="W964" s="34"/>
      <c r="X964" s="34"/>
      <c r="Y964" s="34"/>
      <c r="Z964" s="34">
        <v>0</v>
      </c>
      <c r="AA964" s="34">
        <f t="shared" si="299"/>
        <v>137221.23287671234</v>
      </c>
      <c r="AB964" s="8">
        <f t="shared" si="300"/>
        <v>770550</v>
      </c>
      <c r="AC964" s="4">
        <f t="shared" si="285"/>
        <v>770550</v>
      </c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</row>
    <row r="965" spans="1:61" s="37" customFormat="1" ht="27.6" customHeight="1" x14ac:dyDescent="0.2">
      <c r="A965" s="9">
        <v>951</v>
      </c>
      <c r="B965" s="58" t="s">
        <v>674</v>
      </c>
      <c r="C965" s="9" t="s">
        <v>473</v>
      </c>
      <c r="D965" s="71">
        <v>43639000</v>
      </c>
      <c r="E965" s="9"/>
      <c r="F965" s="9"/>
      <c r="G965" s="62"/>
      <c r="H965" s="54">
        <v>7.5</v>
      </c>
      <c r="I965" s="34"/>
      <c r="J965" s="34"/>
      <c r="K965" s="34"/>
      <c r="L965" s="34"/>
      <c r="M965" s="34">
        <v>0</v>
      </c>
      <c r="N965" s="34">
        <f t="shared" si="293"/>
        <v>43639000</v>
      </c>
      <c r="O965" s="34"/>
      <c r="P965" s="34"/>
      <c r="Q965" s="34"/>
      <c r="R965" s="34"/>
      <c r="S965" s="34">
        <f t="shared" si="289"/>
        <v>43639000</v>
      </c>
      <c r="T965" s="34">
        <v>0</v>
      </c>
      <c r="U965" s="34">
        <v>0</v>
      </c>
      <c r="V965" s="34"/>
      <c r="W965" s="34"/>
      <c r="X965" s="34"/>
      <c r="Y965" s="34"/>
      <c r="Z965" s="34">
        <v>0</v>
      </c>
      <c r="AA965" s="34">
        <f t="shared" si="299"/>
        <v>582849.65753424657</v>
      </c>
      <c r="AB965" s="8">
        <f t="shared" si="300"/>
        <v>3272925</v>
      </c>
      <c r="AC965" s="4">
        <f t="shared" si="285"/>
        <v>3272925</v>
      </c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</row>
    <row r="966" spans="1:61" s="37" customFormat="1" ht="27.6" customHeight="1" x14ac:dyDescent="0.2">
      <c r="A966" s="9">
        <v>952</v>
      </c>
      <c r="B966" s="58" t="s">
        <v>746</v>
      </c>
      <c r="C966" s="9" t="s">
        <v>473</v>
      </c>
      <c r="D966" s="71">
        <v>6632000</v>
      </c>
      <c r="E966" s="9"/>
      <c r="F966" s="9"/>
      <c r="G966" s="62"/>
      <c r="H966" s="54">
        <v>7.5</v>
      </c>
      <c r="I966" s="34"/>
      <c r="J966" s="34"/>
      <c r="K966" s="34"/>
      <c r="L966" s="34"/>
      <c r="M966" s="34">
        <v>0</v>
      </c>
      <c r="N966" s="34">
        <f t="shared" si="293"/>
        <v>6632000</v>
      </c>
      <c r="O966" s="34"/>
      <c r="P966" s="34"/>
      <c r="Q966" s="34"/>
      <c r="R966" s="34"/>
      <c r="S966" s="34">
        <f t="shared" si="289"/>
        <v>6632000</v>
      </c>
      <c r="T966" s="34">
        <v>0</v>
      </c>
      <c r="U966" s="34">
        <v>0</v>
      </c>
      <c r="V966" s="34"/>
      <c r="W966" s="34"/>
      <c r="X966" s="34"/>
      <c r="Y966" s="34"/>
      <c r="Z966" s="34">
        <v>0</v>
      </c>
      <c r="AA966" s="34">
        <f>(N966*7.5%)/365*27</f>
        <v>36793.972602739726</v>
      </c>
      <c r="AB966" s="8">
        <f t="shared" si="300"/>
        <v>497400</v>
      </c>
      <c r="AC966" s="4">
        <f t="shared" si="285"/>
        <v>497400</v>
      </c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</row>
    <row r="967" spans="1:61" s="37" customFormat="1" ht="27.6" customHeight="1" x14ac:dyDescent="0.2">
      <c r="A967" s="9">
        <v>953</v>
      </c>
      <c r="B967" s="58" t="s">
        <v>746</v>
      </c>
      <c r="C967" s="9" t="s">
        <v>473</v>
      </c>
      <c r="D967" s="71">
        <v>31521000</v>
      </c>
      <c r="E967" s="9"/>
      <c r="F967" s="9"/>
      <c r="G967" s="62"/>
      <c r="H967" s="54">
        <v>7.5</v>
      </c>
      <c r="I967" s="34"/>
      <c r="J967" s="34"/>
      <c r="K967" s="34"/>
      <c r="L967" s="34"/>
      <c r="M967" s="34">
        <v>0</v>
      </c>
      <c r="N967" s="34">
        <f t="shared" si="293"/>
        <v>31521000</v>
      </c>
      <c r="O967" s="34"/>
      <c r="P967" s="34"/>
      <c r="Q967" s="34"/>
      <c r="R967" s="34"/>
      <c r="S967" s="34">
        <f t="shared" si="289"/>
        <v>31521000</v>
      </c>
      <c r="T967" s="34">
        <v>0</v>
      </c>
      <c r="U967" s="34">
        <v>0</v>
      </c>
      <c r="V967" s="34"/>
      <c r="W967" s="34"/>
      <c r="X967" s="34"/>
      <c r="Y967" s="34"/>
      <c r="Z967" s="34">
        <v>0</v>
      </c>
      <c r="AA967" s="34">
        <f t="shared" ref="AA967" si="301">(N967*7.5%)/365*27</f>
        <v>174876.78082191781</v>
      </c>
      <c r="AB967" s="8">
        <f t="shared" ref="AB967:AB981" si="302">N967*7.5/100</f>
        <v>2364075</v>
      </c>
      <c r="AC967" s="4">
        <f t="shared" si="285"/>
        <v>2364075</v>
      </c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</row>
    <row r="968" spans="1:61" s="37" customFormat="1" ht="27.6" customHeight="1" x14ac:dyDescent="0.2">
      <c r="A968" s="9">
        <v>954</v>
      </c>
      <c r="B968" s="58" t="s">
        <v>747</v>
      </c>
      <c r="C968" s="9" t="s">
        <v>473</v>
      </c>
      <c r="D968" s="71">
        <v>1010000</v>
      </c>
      <c r="E968" s="9"/>
      <c r="F968" s="9"/>
      <c r="G968" s="62"/>
      <c r="H968" s="54">
        <v>7.5</v>
      </c>
      <c r="I968" s="34"/>
      <c r="J968" s="34"/>
      <c r="K968" s="34"/>
      <c r="L968" s="34"/>
      <c r="M968" s="34">
        <v>0</v>
      </c>
      <c r="N968" s="34">
        <f t="shared" si="293"/>
        <v>1010000</v>
      </c>
      <c r="O968" s="34"/>
      <c r="P968" s="34"/>
      <c r="Q968" s="34"/>
      <c r="R968" s="34"/>
      <c r="S968" s="34">
        <f t="shared" si="289"/>
        <v>1010000</v>
      </c>
      <c r="T968" s="34">
        <v>0</v>
      </c>
      <c r="U968" s="34">
        <v>0</v>
      </c>
      <c r="V968" s="34"/>
      <c r="W968" s="34"/>
      <c r="X968" s="34"/>
      <c r="Y968" s="34"/>
      <c r="Z968" s="34">
        <v>0</v>
      </c>
      <c r="AA968" s="34">
        <f>(N968*7.5%)/365*25</f>
        <v>5188.3561643835619</v>
      </c>
      <c r="AB968" s="8">
        <f t="shared" si="302"/>
        <v>75750</v>
      </c>
      <c r="AC968" s="4">
        <f t="shared" si="285"/>
        <v>75750</v>
      </c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</row>
    <row r="969" spans="1:61" s="37" customFormat="1" ht="27.6" customHeight="1" x14ac:dyDescent="0.2">
      <c r="A969" s="9">
        <v>955</v>
      </c>
      <c r="B969" s="58" t="s">
        <v>747</v>
      </c>
      <c r="C969" s="9" t="s">
        <v>473</v>
      </c>
      <c r="D969" s="71">
        <v>4716000</v>
      </c>
      <c r="E969" s="9"/>
      <c r="F969" s="9"/>
      <c r="G969" s="62"/>
      <c r="H969" s="54">
        <v>7.5</v>
      </c>
      <c r="I969" s="34"/>
      <c r="J969" s="34"/>
      <c r="K969" s="34"/>
      <c r="L969" s="34"/>
      <c r="M969" s="34">
        <v>0</v>
      </c>
      <c r="N969" s="34">
        <f t="shared" si="293"/>
        <v>4716000</v>
      </c>
      <c r="O969" s="34"/>
      <c r="P969" s="34"/>
      <c r="Q969" s="34"/>
      <c r="R969" s="34"/>
      <c r="S969" s="34">
        <f t="shared" si="289"/>
        <v>4716000</v>
      </c>
      <c r="T969" s="34">
        <v>0</v>
      </c>
      <c r="U969" s="34">
        <v>0</v>
      </c>
      <c r="V969" s="34"/>
      <c r="W969" s="34"/>
      <c r="X969" s="34"/>
      <c r="Y969" s="34"/>
      <c r="Z969" s="34">
        <v>0</v>
      </c>
      <c r="AA969" s="34">
        <f>(N969*7.5%)/365*25</f>
        <v>24226.027397260274</v>
      </c>
      <c r="AB969" s="8">
        <f t="shared" si="302"/>
        <v>353700</v>
      </c>
      <c r="AC969" s="4">
        <f t="shared" si="285"/>
        <v>353700</v>
      </c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</row>
    <row r="970" spans="1:61" s="37" customFormat="1" ht="27.6" customHeight="1" x14ac:dyDescent="0.2">
      <c r="A970" s="9">
        <v>956</v>
      </c>
      <c r="B970" s="58" t="s">
        <v>750</v>
      </c>
      <c r="C970" s="9" t="s">
        <v>473</v>
      </c>
      <c r="D970" s="71">
        <v>1053000</v>
      </c>
      <c r="E970" s="9"/>
      <c r="F970" s="9"/>
      <c r="G970" s="62"/>
      <c r="H970" s="54">
        <v>7.5</v>
      </c>
      <c r="I970" s="34"/>
      <c r="J970" s="34"/>
      <c r="K970" s="34"/>
      <c r="L970" s="34"/>
      <c r="M970" s="34">
        <v>0</v>
      </c>
      <c r="N970" s="34">
        <f t="shared" si="293"/>
        <v>1053000</v>
      </c>
      <c r="O970" s="34"/>
      <c r="P970" s="34"/>
      <c r="Q970" s="34"/>
      <c r="R970" s="34"/>
      <c r="S970" s="34">
        <f t="shared" si="289"/>
        <v>1053000</v>
      </c>
      <c r="T970" s="34">
        <v>0</v>
      </c>
      <c r="U970" s="34">
        <v>0</v>
      </c>
      <c r="V970" s="34"/>
      <c r="W970" s="34"/>
      <c r="X970" s="34"/>
      <c r="Y970" s="34"/>
      <c r="Z970" s="34">
        <v>0</v>
      </c>
      <c r="AA970" s="34">
        <f>(N970*7.5%)/365*21</f>
        <v>4543.767123287671</v>
      </c>
      <c r="AB970" s="8">
        <f t="shared" si="302"/>
        <v>78975</v>
      </c>
      <c r="AC970" s="4">
        <f t="shared" si="285"/>
        <v>78975</v>
      </c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</row>
    <row r="971" spans="1:61" s="37" customFormat="1" ht="27.6" customHeight="1" x14ac:dyDescent="0.2">
      <c r="A971" s="9">
        <v>957</v>
      </c>
      <c r="B971" s="58" t="s">
        <v>753</v>
      </c>
      <c r="C971" s="9" t="s">
        <v>473</v>
      </c>
      <c r="D971" s="71">
        <v>11652000</v>
      </c>
      <c r="E971" s="9"/>
      <c r="F971" s="9"/>
      <c r="G971" s="62"/>
      <c r="H971" s="54">
        <v>7.5</v>
      </c>
      <c r="I971" s="34"/>
      <c r="J971" s="34"/>
      <c r="K971" s="34"/>
      <c r="L971" s="34"/>
      <c r="M971" s="34">
        <v>0</v>
      </c>
      <c r="N971" s="34">
        <f t="shared" si="293"/>
        <v>11652000</v>
      </c>
      <c r="O971" s="34"/>
      <c r="P971" s="34"/>
      <c r="Q971" s="34"/>
      <c r="R971" s="34"/>
      <c r="S971" s="34">
        <f t="shared" si="289"/>
        <v>11652000</v>
      </c>
      <c r="T971" s="34">
        <v>0</v>
      </c>
      <c r="U971" s="34">
        <v>0</v>
      </c>
      <c r="V971" s="34"/>
      <c r="W971" s="34"/>
      <c r="X971" s="34"/>
      <c r="Y971" s="34"/>
      <c r="Z971" s="34">
        <v>0</v>
      </c>
      <c r="AA971" s="34">
        <f>(N971*7.5%)/365*7</f>
        <v>16759.726027397261</v>
      </c>
      <c r="AB971" s="8">
        <f t="shared" si="302"/>
        <v>873900</v>
      </c>
      <c r="AC971" s="4">
        <f t="shared" si="285"/>
        <v>873900</v>
      </c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</row>
    <row r="972" spans="1:61" s="37" customFormat="1" ht="27.6" customHeight="1" x14ac:dyDescent="0.2">
      <c r="A972" s="9">
        <v>958</v>
      </c>
      <c r="B972" s="58" t="s">
        <v>753</v>
      </c>
      <c r="C972" s="9" t="s">
        <v>473</v>
      </c>
      <c r="D972" s="71">
        <v>4013000</v>
      </c>
      <c r="E972" s="9"/>
      <c r="F972" s="9"/>
      <c r="G972" s="62"/>
      <c r="H972" s="54">
        <v>7.5</v>
      </c>
      <c r="I972" s="34"/>
      <c r="J972" s="34"/>
      <c r="K972" s="34"/>
      <c r="L972" s="34"/>
      <c r="M972" s="34">
        <v>0</v>
      </c>
      <c r="N972" s="34">
        <f t="shared" si="293"/>
        <v>4013000</v>
      </c>
      <c r="O972" s="34"/>
      <c r="P972" s="34"/>
      <c r="Q972" s="34"/>
      <c r="R972" s="34"/>
      <c r="S972" s="34">
        <f t="shared" si="289"/>
        <v>4013000</v>
      </c>
      <c r="T972" s="34">
        <v>0</v>
      </c>
      <c r="U972" s="34">
        <v>0</v>
      </c>
      <c r="V972" s="34"/>
      <c r="W972" s="34"/>
      <c r="X972" s="34"/>
      <c r="Y972" s="34"/>
      <c r="Z972" s="34">
        <v>0</v>
      </c>
      <c r="AA972" s="34">
        <f t="shared" ref="AA972:AA974" si="303">(N972*7.5%)/365*7</f>
        <v>5772.1232876712329</v>
      </c>
      <c r="AB972" s="8">
        <f t="shared" si="302"/>
        <v>300975</v>
      </c>
      <c r="AC972" s="4">
        <f t="shared" si="285"/>
        <v>300975</v>
      </c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</row>
    <row r="973" spans="1:61" s="37" customFormat="1" ht="27.6" customHeight="1" x14ac:dyDescent="0.2">
      <c r="A973" s="9">
        <v>959</v>
      </c>
      <c r="B973" s="58" t="s">
        <v>753</v>
      </c>
      <c r="C973" s="9" t="s">
        <v>473</v>
      </c>
      <c r="D973" s="71">
        <v>5540000</v>
      </c>
      <c r="E973" s="9"/>
      <c r="F973" s="9"/>
      <c r="G973" s="62"/>
      <c r="H973" s="54">
        <v>7.5</v>
      </c>
      <c r="I973" s="34"/>
      <c r="J973" s="34"/>
      <c r="K973" s="34"/>
      <c r="L973" s="34"/>
      <c r="M973" s="34">
        <v>0</v>
      </c>
      <c r="N973" s="34">
        <f t="shared" si="293"/>
        <v>5540000</v>
      </c>
      <c r="O973" s="34"/>
      <c r="P973" s="34"/>
      <c r="Q973" s="34"/>
      <c r="R973" s="34"/>
      <c r="S973" s="34">
        <f t="shared" si="289"/>
        <v>5540000</v>
      </c>
      <c r="T973" s="34">
        <v>0</v>
      </c>
      <c r="U973" s="34">
        <v>0</v>
      </c>
      <c r="V973" s="34"/>
      <c r="W973" s="34"/>
      <c r="X973" s="34"/>
      <c r="Y973" s="34"/>
      <c r="Z973" s="34">
        <v>0</v>
      </c>
      <c r="AA973" s="34">
        <f t="shared" si="303"/>
        <v>7968.4931506849316</v>
      </c>
      <c r="AB973" s="8">
        <f t="shared" si="302"/>
        <v>415500</v>
      </c>
      <c r="AC973" s="4">
        <f t="shared" si="285"/>
        <v>415500</v>
      </c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</row>
    <row r="974" spans="1:61" s="37" customFormat="1" ht="27.6" customHeight="1" x14ac:dyDescent="0.2">
      <c r="A974" s="9">
        <v>960</v>
      </c>
      <c r="B974" s="58" t="s">
        <v>753</v>
      </c>
      <c r="C974" s="9" t="s">
        <v>473</v>
      </c>
      <c r="D974" s="71">
        <v>10112000</v>
      </c>
      <c r="E974" s="9"/>
      <c r="F974" s="9"/>
      <c r="G974" s="62"/>
      <c r="H974" s="54">
        <v>7.5</v>
      </c>
      <c r="I974" s="34"/>
      <c r="J974" s="34"/>
      <c r="K974" s="34"/>
      <c r="L974" s="34"/>
      <c r="M974" s="34">
        <v>0</v>
      </c>
      <c r="N974" s="34">
        <f t="shared" si="293"/>
        <v>10112000</v>
      </c>
      <c r="O974" s="34"/>
      <c r="P974" s="34"/>
      <c r="Q974" s="34"/>
      <c r="R974" s="34"/>
      <c r="S974" s="34">
        <f t="shared" si="289"/>
        <v>10112000</v>
      </c>
      <c r="T974" s="34">
        <v>0</v>
      </c>
      <c r="U974" s="34">
        <v>0</v>
      </c>
      <c r="V974" s="34"/>
      <c r="W974" s="34"/>
      <c r="X974" s="34"/>
      <c r="Y974" s="34"/>
      <c r="Z974" s="34">
        <v>0</v>
      </c>
      <c r="AA974" s="34">
        <f t="shared" si="303"/>
        <v>14544.657534246577</v>
      </c>
      <c r="AB974" s="8">
        <f t="shared" si="302"/>
        <v>758400</v>
      </c>
      <c r="AC974" s="4">
        <f t="shared" si="285"/>
        <v>758400</v>
      </c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</row>
    <row r="975" spans="1:61" s="37" customFormat="1" ht="27.6" customHeight="1" x14ac:dyDescent="0.2">
      <c r="A975" s="9">
        <v>961</v>
      </c>
      <c r="B975" s="58" t="s">
        <v>754</v>
      </c>
      <c r="C975" s="9" t="s">
        <v>473</v>
      </c>
      <c r="D975" s="71">
        <v>13736000</v>
      </c>
      <c r="E975" s="9"/>
      <c r="F975" s="9"/>
      <c r="G975" s="62"/>
      <c r="H975" s="54">
        <v>7.5</v>
      </c>
      <c r="I975" s="34"/>
      <c r="J975" s="34"/>
      <c r="K975" s="34"/>
      <c r="L975" s="34"/>
      <c r="M975" s="34">
        <v>0</v>
      </c>
      <c r="N975" s="34">
        <f t="shared" si="293"/>
        <v>13736000</v>
      </c>
      <c r="O975" s="34"/>
      <c r="P975" s="34"/>
      <c r="Q975" s="34"/>
      <c r="R975" s="34"/>
      <c r="S975" s="34">
        <f t="shared" si="289"/>
        <v>13736000</v>
      </c>
      <c r="T975" s="34">
        <v>0</v>
      </c>
      <c r="U975" s="34">
        <v>0</v>
      </c>
      <c r="V975" s="34"/>
      <c r="W975" s="34"/>
      <c r="X975" s="34"/>
      <c r="Y975" s="34"/>
      <c r="Z975" s="34">
        <v>0</v>
      </c>
      <c r="AA975" s="34">
        <f>(N975*7.5%)/365*6</f>
        <v>16934.794520547945</v>
      </c>
      <c r="AB975" s="8">
        <f t="shared" si="302"/>
        <v>1030200</v>
      </c>
      <c r="AC975" s="4">
        <f t="shared" si="285"/>
        <v>1030200</v>
      </c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</row>
    <row r="976" spans="1:61" s="37" customFormat="1" ht="27.6" customHeight="1" x14ac:dyDescent="0.2">
      <c r="A976" s="9">
        <v>962</v>
      </c>
      <c r="B976" s="58" t="s">
        <v>754</v>
      </c>
      <c r="C976" s="9" t="s">
        <v>473</v>
      </c>
      <c r="D976" s="71">
        <v>13172000</v>
      </c>
      <c r="E976" s="9"/>
      <c r="F976" s="9"/>
      <c r="G976" s="62"/>
      <c r="H976" s="54">
        <v>7.5</v>
      </c>
      <c r="I976" s="34"/>
      <c r="J976" s="34"/>
      <c r="K976" s="34"/>
      <c r="L976" s="34"/>
      <c r="M976" s="34">
        <v>0</v>
      </c>
      <c r="N976" s="34">
        <f t="shared" si="293"/>
        <v>13172000</v>
      </c>
      <c r="O976" s="34"/>
      <c r="P976" s="34"/>
      <c r="Q976" s="34"/>
      <c r="R976" s="34"/>
      <c r="S976" s="34">
        <f t="shared" si="289"/>
        <v>13172000</v>
      </c>
      <c r="T976" s="34">
        <v>0</v>
      </c>
      <c r="U976" s="34">
        <v>0</v>
      </c>
      <c r="V976" s="34"/>
      <c r="W976" s="34"/>
      <c r="X976" s="34"/>
      <c r="Y976" s="34"/>
      <c r="Z976" s="34">
        <v>0</v>
      </c>
      <c r="AA976" s="34">
        <f>(N976*7.5%)/365*6</f>
        <v>16239.452054794519</v>
      </c>
      <c r="AB976" s="8">
        <f t="shared" si="302"/>
        <v>987900</v>
      </c>
      <c r="AC976" s="4">
        <f t="shared" si="285"/>
        <v>987900</v>
      </c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</row>
    <row r="977" spans="1:61" s="37" customFormat="1" ht="27.6" customHeight="1" x14ac:dyDescent="0.2">
      <c r="A977" s="9">
        <v>963</v>
      </c>
      <c r="B977" s="58" t="s">
        <v>755</v>
      </c>
      <c r="C977" s="9" t="s">
        <v>473</v>
      </c>
      <c r="D977" s="71">
        <v>8176000</v>
      </c>
      <c r="E977" s="9"/>
      <c r="F977" s="9"/>
      <c r="G977" s="62"/>
      <c r="H977" s="54">
        <v>7.5</v>
      </c>
      <c r="I977" s="34"/>
      <c r="J977" s="34"/>
      <c r="K977" s="34"/>
      <c r="L977" s="34"/>
      <c r="M977" s="34">
        <v>0</v>
      </c>
      <c r="N977" s="34">
        <f t="shared" si="293"/>
        <v>8176000</v>
      </c>
      <c r="O977" s="34"/>
      <c r="P977" s="34"/>
      <c r="Q977" s="34"/>
      <c r="R977" s="34"/>
      <c r="S977" s="34">
        <f t="shared" si="289"/>
        <v>8176000</v>
      </c>
      <c r="T977" s="34">
        <v>0</v>
      </c>
      <c r="U977" s="34">
        <v>0</v>
      </c>
      <c r="V977" s="34"/>
      <c r="W977" s="34"/>
      <c r="X977" s="34"/>
      <c r="Y977" s="34"/>
      <c r="Z977" s="34">
        <v>0</v>
      </c>
      <c r="AA977" s="34">
        <f>(N977*7.5%)/365*5</f>
        <v>8400</v>
      </c>
      <c r="AB977" s="8">
        <f t="shared" si="302"/>
        <v>613200</v>
      </c>
      <c r="AC977" s="4">
        <f t="shared" si="285"/>
        <v>613200</v>
      </c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</row>
    <row r="978" spans="1:61" s="37" customFormat="1" ht="27.6" customHeight="1" x14ac:dyDescent="0.2">
      <c r="A978" s="9">
        <v>964</v>
      </c>
      <c r="B978" s="58" t="s">
        <v>755</v>
      </c>
      <c r="C978" s="9" t="s">
        <v>473</v>
      </c>
      <c r="D978" s="71">
        <v>9839000</v>
      </c>
      <c r="E978" s="9"/>
      <c r="F978" s="9"/>
      <c r="G978" s="62"/>
      <c r="H978" s="54">
        <v>7.5</v>
      </c>
      <c r="I978" s="34"/>
      <c r="J978" s="34"/>
      <c r="K978" s="34"/>
      <c r="L978" s="34"/>
      <c r="M978" s="34">
        <v>0</v>
      </c>
      <c r="N978" s="34">
        <f t="shared" si="293"/>
        <v>9839000</v>
      </c>
      <c r="O978" s="34"/>
      <c r="P978" s="34"/>
      <c r="Q978" s="34"/>
      <c r="R978" s="34"/>
      <c r="S978" s="34">
        <f t="shared" si="289"/>
        <v>9839000</v>
      </c>
      <c r="T978" s="34">
        <v>0</v>
      </c>
      <c r="U978" s="34">
        <v>0</v>
      </c>
      <c r="V978" s="34"/>
      <c r="W978" s="34"/>
      <c r="X978" s="34"/>
      <c r="Y978" s="34"/>
      <c r="Z978" s="34">
        <v>0</v>
      </c>
      <c r="AA978" s="34">
        <f t="shared" ref="AA978:AA981" si="304">(N978*7.5%)/365*5</f>
        <v>10108.561643835617</v>
      </c>
      <c r="AB978" s="8">
        <f t="shared" si="302"/>
        <v>737925</v>
      </c>
      <c r="AC978" s="4">
        <f t="shared" si="285"/>
        <v>737925</v>
      </c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</row>
    <row r="979" spans="1:61" s="37" customFormat="1" ht="27.6" customHeight="1" x14ac:dyDescent="0.2">
      <c r="A979" s="9">
        <v>965</v>
      </c>
      <c r="B979" s="58" t="s">
        <v>755</v>
      </c>
      <c r="C979" s="9" t="s">
        <v>473</v>
      </c>
      <c r="D979" s="71">
        <v>27217000</v>
      </c>
      <c r="E979" s="9"/>
      <c r="F979" s="9"/>
      <c r="G979" s="62"/>
      <c r="H979" s="54">
        <v>7.5</v>
      </c>
      <c r="I979" s="34"/>
      <c r="J979" s="34"/>
      <c r="K979" s="34"/>
      <c r="L979" s="34"/>
      <c r="M979" s="34">
        <v>0</v>
      </c>
      <c r="N979" s="34">
        <f t="shared" si="293"/>
        <v>27217000</v>
      </c>
      <c r="O979" s="34"/>
      <c r="P979" s="34"/>
      <c r="Q979" s="34"/>
      <c r="R979" s="34"/>
      <c r="S979" s="34">
        <f t="shared" si="289"/>
        <v>27217000</v>
      </c>
      <c r="T979" s="34">
        <v>0</v>
      </c>
      <c r="U979" s="34">
        <v>0</v>
      </c>
      <c r="V979" s="34"/>
      <c r="W979" s="34"/>
      <c r="X979" s="34"/>
      <c r="Y979" s="34"/>
      <c r="Z979" s="34">
        <v>0</v>
      </c>
      <c r="AA979" s="34">
        <f t="shared" si="304"/>
        <v>27962.671232876713</v>
      </c>
      <c r="AB979" s="8">
        <f t="shared" si="302"/>
        <v>2041275</v>
      </c>
      <c r="AC979" s="4">
        <f t="shared" si="285"/>
        <v>2041275</v>
      </c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</row>
    <row r="980" spans="1:61" s="37" customFormat="1" ht="27.6" customHeight="1" x14ac:dyDescent="0.2">
      <c r="A980" s="9">
        <v>966</v>
      </c>
      <c r="B980" s="58" t="s">
        <v>755</v>
      </c>
      <c r="C980" s="9" t="s">
        <v>473</v>
      </c>
      <c r="D980" s="71">
        <v>1977000</v>
      </c>
      <c r="E980" s="9"/>
      <c r="F980" s="9"/>
      <c r="G980" s="62"/>
      <c r="H980" s="54">
        <v>7.5</v>
      </c>
      <c r="I980" s="34"/>
      <c r="J980" s="34"/>
      <c r="K980" s="34"/>
      <c r="L980" s="34"/>
      <c r="M980" s="34">
        <v>0</v>
      </c>
      <c r="N980" s="34">
        <f t="shared" si="293"/>
        <v>1977000</v>
      </c>
      <c r="O980" s="34"/>
      <c r="P980" s="34"/>
      <c r="Q980" s="34"/>
      <c r="R980" s="34"/>
      <c r="S980" s="34">
        <f t="shared" si="289"/>
        <v>1977000</v>
      </c>
      <c r="T980" s="34">
        <v>0</v>
      </c>
      <c r="U980" s="34">
        <v>0</v>
      </c>
      <c r="V980" s="34"/>
      <c r="W980" s="34"/>
      <c r="X980" s="34"/>
      <c r="Y980" s="34"/>
      <c r="Z980" s="34">
        <v>0</v>
      </c>
      <c r="AA980" s="34">
        <f t="shared" si="304"/>
        <v>2031.1643835616439</v>
      </c>
      <c r="AB980" s="8">
        <f t="shared" si="302"/>
        <v>148275</v>
      </c>
      <c r="AC980" s="4">
        <f t="shared" si="285"/>
        <v>148275</v>
      </c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</row>
    <row r="981" spans="1:61" s="37" customFormat="1" ht="27.6" customHeight="1" x14ac:dyDescent="0.2">
      <c r="A981" s="9">
        <v>967</v>
      </c>
      <c r="B981" s="58" t="s">
        <v>755</v>
      </c>
      <c r="C981" s="9" t="s">
        <v>473</v>
      </c>
      <c r="D981" s="71">
        <v>1106000</v>
      </c>
      <c r="E981" s="9"/>
      <c r="F981" s="9"/>
      <c r="G981" s="62"/>
      <c r="H981" s="54">
        <v>7.5</v>
      </c>
      <c r="I981" s="34"/>
      <c r="J981" s="34"/>
      <c r="K981" s="34"/>
      <c r="L981" s="34"/>
      <c r="M981" s="34">
        <v>0</v>
      </c>
      <c r="N981" s="34">
        <f t="shared" si="293"/>
        <v>1106000</v>
      </c>
      <c r="O981" s="34"/>
      <c r="P981" s="34"/>
      <c r="Q981" s="34"/>
      <c r="R981" s="34"/>
      <c r="S981" s="34">
        <f t="shared" si="289"/>
        <v>1106000</v>
      </c>
      <c r="T981" s="34">
        <v>0</v>
      </c>
      <c r="U981" s="34">
        <v>0</v>
      </c>
      <c r="V981" s="34"/>
      <c r="W981" s="34"/>
      <c r="X981" s="34"/>
      <c r="Y981" s="34"/>
      <c r="Z981" s="34">
        <v>0</v>
      </c>
      <c r="AA981" s="34">
        <f t="shared" si="304"/>
        <v>1136.3013698630136</v>
      </c>
      <c r="AB981" s="8">
        <f t="shared" si="302"/>
        <v>82950</v>
      </c>
      <c r="AC981" s="4">
        <f t="shared" si="285"/>
        <v>82950</v>
      </c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</row>
    <row r="982" spans="1:61" s="37" customFormat="1" ht="27.6" customHeight="1" x14ac:dyDescent="0.2">
      <c r="A982" s="9">
        <v>968</v>
      </c>
      <c r="B982" s="58" t="s">
        <v>757</v>
      </c>
      <c r="C982" s="9" t="s">
        <v>473</v>
      </c>
      <c r="D982" s="71">
        <v>18436000</v>
      </c>
      <c r="E982" s="9"/>
      <c r="F982" s="9"/>
      <c r="G982" s="62"/>
      <c r="H982" s="54">
        <v>7.5</v>
      </c>
      <c r="I982" s="34"/>
      <c r="J982" s="34"/>
      <c r="K982" s="34"/>
      <c r="L982" s="34"/>
      <c r="M982" s="34">
        <v>0</v>
      </c>
      <c r="N982" s="34">
        <v>0</v>
      </c>
      <c r="O982" s="34"/>
      <c r="P982" s="34"/>
      <c r="Q982" s="34"/>
      <c r="R982" s="34"/>
      <c r="S982" s="34">
        <f>D982</f>
        <v>18436000</v>
      </c>
      <c r="T982" s="34">
        <v>0</v>
      </c>
      <c r="U982" s="34">
        <v>0</v>
      </c>
      <c r="V982" s="34"/>
      <c r="W982" s="34"/>
      <c r="X982" s="34"/>
      <c r="Y982" s="34"/>
      <c r="Z982" s="34">
        <v>0</v>
      </c>
      <c r="AA982" s="34">
        <v>0</v>
      </c>
      <c r="AB982" s="8">
        <f>(S982*7.5%)/365*273</f>
        <v>1034183.8356164383</v>
      </c>
      <c r="AC982" s="4">
        <f t="shared" si="285"/>
        <v>1382700</v>
      </c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</row>
    <row r="983" spans="1:61" s="37" customFormat="1" ht="27.6" customHeight="1" x14ac:dyDescent="0.2">
      <c r="A983" s="9">
        <v>969</v>
      </c>
      <c r="B983" s="58" t="s">
        <v>757</v>
      </c>
      <c r="C983" s="9" t="s">
        <v>473</v>
      </c>
      <c r="D983" s="71">
        <v>49905000</v>
      </c>
      <c r="E983" s="9"/>
      <c r="F983" s="9"/>
      <c r="G983" s="62"/>
      <c r="H983" s="54">
        <v>7.5</v>
      </c>
      <c r="I983" s="34"/>
      <c r="J983" s="34"/>
      <c r="K983" s="34"/>
      <c r="L983" s="34"/>
      <c r="M983" s="34">
        <v>0</v>
      </c>
      <c r="N983" s="34">
        <v>0</v>
      </c>
      <c r="O983" s="34"/>
      <c r="P983" s="34"/>
      <c r="Q983" s="34"/>
      <c r="R983" s="34"/>
      <c r="S983" s="34">
        <f t="shared" ref="S983:S984" si="305">D983</f>
        <v>49905000</v>
      </c>
      <c r="T983" s="34">
        <v>0</v>
      </c>
      <c r="U983" s="34">
        <v>0</v>
      </c>
      <c r="V983" s="34"/>
      <c r="W983" s="34"/>
      <c r="X983" s="34"/>
      <c r="Y983" s="34"/>
      <c r="Z983" s="34">
        <v>0</v>
      </c>
      <c r="AA983" s="34">
        <v>0</v>
      </c>
      <c r="AB983" s="8">
        <f t="shared" ref="AB983:AB985" si="306">(S983*7.5%)/365*273</f>
        <v>2799465.4109589043</v>
      </c>
      <c r="AC983" s="4">
        <f t="shared" si="285"/>
        <v>3742875</v>
      </c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</row>
    <row r="984" spans="1:61" s="37" customFormat="1" ht="27.6" customHeight="1" x14ac:dyDescent="0.2">
      <c r="A984" s="9">
        <v>970</v>
      </c>
      <c r="B984" s="58" t="s">
        <v>757</v>
      </c>
      <c r="C984" s="9" t="s">
        <v>473</v>
      </c>
      <c r="D984" s="71">
        <v>14044000</v>
      </c>
      <c r="E984" s="9"/>
      <c r="F984" s="9"/>
      <c r="G984" s="62"/>
      <c r="H984" s="54">
        <v>7.5</v>
      </c>
      <c r="I984" s="34"/>
      <c r="J984" s="34"/>
      <c r="K984" s="34"/>
      <c r="L984" s="34"/>
      <c r="M984" s="34">
        <v>0</v>
      </c>
      <c r="N984" s="34">
        <v>0</v>
      </c>
      <c r="O984" s="34"/>
      <c r="P984" s="34"/>
      <c r="Q984" s="34"/>
      <c r="R984" s="34"/>
      <c r="S984" s="34">
        <f t="shared" si="305"/>
        <v>14044000</v>
      </c>
      <c r="T984" s="34">
        <v>0</v>
      </c>
      <c r="U984" s="34">
        <v>0</v>
      </c>
      <c r="V984" s="34"/>
      <c r="W984" s="34"/>
      <c r="X984" s="34"/>
      <c r="Y984" s="34"/>
      <c r="Z984" s="34">
        <v>0</v>
      </c>
      <c r="AA984" s="34">
        <v>0</v>
      </c>
      <c r="AB984" s="8">
        <f t="shared" si="306"/>
        <v>787810.68493150687</v>
      </c>
      <c r="AC984" s="4">
        <f t="shared" ref="AC984:AC1016" si="307">S984*H984%</f>
        <v>1053300</v>
      </c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</row>
    <row r="985" spans="1:61" s="37" customFormat="1" ht="27.6" customHeight="1" x14ac:dyDescent="0.2">
      <c r="A985" s="9">
        <v>971</v>
      </c>
      <c r="B985" s="58" t="s">
        <v>757</v>
      </c>
      <c r="C985" s="9" t="s">
        <v>473</v>
      </c>
      <c r="D985" s="71">
        <v>1000000</v>
      </c>
      <c r="E985" s="9"/>
      <c r="F985" s="9"/>
      <c r="G985" s="62"/>
      <c r="H985" s="54">
        <v>7.5</v>
      </c>
      <c r="I985" s="34"/>
      <c r="J985" s="34"/>
      <c r="K985" s="34"/>
      <c r="L985" s="34"/>
      <c r="M985" s="34">
        <v>0</v>
      </c>
      <c r="N985" s="34">
        <v>0</v>
      </c>
      <c r="O985" s="34"/>
      <c r="P985" s="34"/>
      <c r="Q985" s="34"/>
      <c r="R985" s="34"/>
      <c r="S985" s="34">
        <f>D985</f>
        <v>1000000</v>
      </c>
      <c r="T985" s="34">
        <v>0</v>
      </c>
      <c r="U985" s="34">
        <v>0</v>
      </c>
      <c r="V985" s="34"/>
      <c r="W985" s="34"/>
      <c r="X985" s="34"/>
      <c r="Y985" s="34"/>
      <c r="Z985" s="34">
        <v>0</v>
      </c>
      <c r="AA985" s="34">
        <v>0</v>
      </c>
      <c r="AB985" s="8">
        <f t="shared" si="306"/>
        <v>56095.890410958898</v>
      </c>
      <c r="AC985" s="4">
        <f t="shared" si="307"/>
        <v>75000</v>
      </c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</row>
    <row r="986" spans="1:61" s="37" customFormat="1" ht="27.6" customHeight="1" x14ac:dyDescent="0.2">
      <c r="A986" s="9">
        <v>972</v>
      </c>
      <c r="B986" s="58" t="s">
        <v>758</v>
      </c>
      <c r="C986" s="9" t="s">
        <v>473</v>
      </c>
      <c r="D986" s="71">
        <v>5818000</v>
      </c>
      <c r="E986" s="9"/>
      <c r="F986" s="9"/>
      <c r="G986" s="62"/>
      <c r="H986" s="54">
        <v>7.5</v>
      </c>
      <c r="I986" s="34"/>
      <c r="J986" s="34"/>
      <c r="K986" s="34"/>
      <c r="L986" s="34"/>
      <c r="M986" s="34">
        <v>0</v>
      </c>
      <c r="N986" s="34">
        <v>0</v>
      </c>
      <c r="O986" s="34"/>
      <c r="P986" s="34"/>
      <c r="Q986" s="34"/>
      <c r="R986" s="34"/>
      <c r="S986" s="34">
        <f t="shared" ref="S986:S1016" si="308">D986</f>
        <v>5818000</v>
      </c>
      <c r="T986" s="34">
        <v>0</v>
      </c>
      <c r="U986" s="34">
        <v>0</v>
      </c>
      <c r="V986" s="34"/>
      <c r="W986" s="34"/>
      <c r="X986" s="34"/>
      <c r="Y986" s="34"/>
      <c r="Z986" s="34">
        <v>0</v>
      </c>
      <c r="AA986" s="34">
        <f t="shared" ref="AA986:AA996" si="309">(N986*7.5%)/365*6</f>
        <v>0</v>
      </c>
      <c r="AB986" s="8">
        <f>(S986*7.5%)/365*272</f>
        <v>325170.41095890413</v>
      </c>
      <c r="AC986" s="4">
        <f t="shared" si="307"/>
        <v>436350</v>
      </c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</row>
    <row r="987" spans="1:61" s="37" customFormat="1" ht="27.6" customHeight="1" x14ac:dyDescent="0.2">
      <c r="A987" s="9">
        <v>973</v>
      </c>
      <c r="B987" s="58" t="s">
        <v>762</v>
      </c>
      <c r="C987" s="9" t="s">
        <v>473</v>
      </c>
      <c r="D987" s="71">
        <v>15742000</v>
      </c>
      <c r="E987" s="9"/>
      <c r="F987" s="9"/>
      <c r="G987" s="62"/>
      <c r="H987" s="54">
        <v>7.5</v>
      </c>
      <c r="I987" s="34"/>
      <c r="J987" s="34"/>
      <c r="K987" s="34"/>
      <c r="L987" s="34"/>
      <c r="M987" s="34">
        <v>0</v>
      </c>
      <c r="N987" s="34">
        <v>0</v>
      </c>
      <c r="O987" s="34"/>
      <c r="P987" s="34"/>
      <c r="Q987" s="34"/>
      <c r="R987" s="34"/>
      <c r="S987" s="34">
        <f t="shared" si="308"/>
        <v>15742000</v>
      </c>
      <c r="T987" s="34">
        <v>0</v>
      </c>
      <c r="U987" s="34">
        <v>0</v>
      </c>
      <c r="V987" s="34"/>
      <c r="W987" s="34"/>
      <c r="X987" s="34"/>
      <c r="Y987" s="34"/>
      <c r="Z987" s="34">
        <v>0</v>
      </c>
      <c r="AA987" s="34">
        <f t="shared" ref="AA987:AA990" si="310">(N987*7.5%)/365*6</f>
        <v>0</v>
      </c>
      <c r="AB987" s="8">
        <f>(S987*7.5%)/365*253</f>
        <v>818368.35616438359</v>
      </c>
      <c r="AC987" s="4">
        <f t="shared" si="307"/>
        <v>1180650</v>
      </c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</row>
    <row r="988" spans="1:61" s="37" customFormat="1" ht="27.6" customHeight="1" x14ac:dyDescent="0.2">
      <c r="A988" s="9">
        <v>974</v>
      </c>
      <c r="B988" s="58" t="s">
        <v>762</v>
      </c>
      <c r="C988" s="9" t="s">
        <v>473</v>
      </c>
      <c r="D988" s="71">
        <v>1000000</v>
      </c>
      <c r="E988" s="9"/>
      <c r="F988" s="9"/>
      <c r="G988" s="62"/>
      <c r="H988" s="54">
        <v>7.5</v>
      </c>
      <c r="I988" s="34"/>
      <c r="J988" s="34"/>
      <c r="K988" s="34"/>
      <c r="L988" s="34"/>
      <c r="M988" s="34">
        <v>0</v>
      </c>
      <c r="N988" s="34">
        <v>0</v>
      </c>
      <c r="O988" s="34"/>
      <c r="P988" s="34"/>
      <c r="Q988" s="34"/>
      <c r="R988" s="34"/>
      <c r="S988" s="34">
        <f t="shared" si="308"/>
        <v>1000000</v>
      </c>
      <c r="T988" s="34">
        <v>0</v>
      </c>
      <c r="U988" s="34">
        <v>0</v>
      </c>
      <c r="V988" s="34"/>
      <c r="W988" s="34"/>
      <c r="X988" s="34"/>
      <c r="Y988" s="34"/>
      <c r="Z988" s="34">
        <v>0</v>
      </c>
      <c r="AA988" s="34">
        <f t="shared" si="310"/>
        <v>0</v>
      </c>
      <c r="AB988" s="8">
        <f>(S988*7.5%)/365*253</f>
        <v>51986.301369863009</v>
      </c>
      <c r="AC988" s="4">
        <f t="shared" si="307"/>
        <v>75000</v>
      </c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</row>
    <row r="989" spans="1:61" s="37" customFormat="1" ht="27.6" customHeight="1" x14ac:dyDescent="0.2">
      <c r="A989" s="9">
        <v>975</v>
      </c>
      <c r="B989" s="58" t="s">
        <v>762</v>
      </c>
      <c r="C989" s="9" t="s">
        <v>473</v>
      </c>
      <c r="D989" s="71">
        <v>2640000</v>
      </c>
      <c r="E989" s="9"/>
      <c r="F989" s="9"/>
      <c r="G989" s="62"/>
      <c r="H989" s="54">
        <v>7.5</v>
      </c>
      <c r="I989" s="34"/>
      <c r="J989" s="34"/>
      <c r="K989" s="34"/>
      <c r="L989" s="34"/>
      <c r="M989" s="34">
        <v>0</v>
      </c>
      <c r="N989" s="34">
        <v>0</v>
      </c>
      <c r="O989" s="34"/>
      <c r="P989" s="34"/>
      <c r="Q989" s="34"/>
      <c r="R989" s="34"/>
      <c r="S989" s="34">
        <f t="shared" si="308"/>
        <v>2640000</v>
      </c>
      <c r="T989" s="34">
        <v>0</v>
      </c>
      <c r="U989" s="34">
        <v>0</v>
      </c>
      <c r="V989" s="34"/>
      <c r="W989" s="34"/>
      <c r="X989" s="34"/>
      <c r="Y989" s="34"/>
      <c r="Z989" s="34">
        <v>0</v>
      </c>
      <c r="AA989" s="34">
        <f t="shared" si="310"/>
        <v>0</v>
      </c>
      <c r="AB989" s="8">
        <f t="shared" ref="AB989:AB990" si="311">(S989*7.5%)/365*253</f>
        <v>137243.83561643836</v>
      </c>
      <c r="AC989" s="4">
        <f t="shared" si="307"/>
        <v>198000</v>
      </c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</row>
    <row r="990" spans="1:61" s="37" customFormat="1" ht="27.6" customHeight="1" x14ac:dyDescent="0.2">
      <c r="A990" s="9">
        <v>976</v>
      </c>
      <c r="B990" s="58" t="s">
        <v>762</v>
      </c>
      <c r="C990" s="9" t="s">
        <v>473</v>
      </c>
      <c r="D990" s="71">
        <v>8878000</v>
      </c>
      <c r="E990" s="9"/>
      <c r="F990" s="9"/>
      <c r="G990" s="62"/>
      <c r="H990" s="54">
        <v>7.5</v>
      </c>
      <c r="I990" s="34"/>
      <c r="J990" s="34"/>
      <c r="K990" s="34"/>
      <c r="L990" s="34"/>
      <c r="M990" s="34">
        <v>0</v>
      </c>
      <c r="N990" s="34">
        <v>0</v>
      </c>
      <c r="O990" s="34"/>
      <c r="P990" s="34"/>
      <c r="Q990" s="34"/>
      <c r="R990" s="34"/>
      <c r="S990" s="34">
        <f t="shared" si="308"/>
        <v>8878000</v>
      </c>
      <c r="T990" s="34">
        <v>0</v>
      </c>
      <c r="U990" s="34">
        <v>0</v>
      </c>
      <c r="V990" s="34"/>
      <c r="W990" s="34"/>
      <c r="X990" s="34"/>
      <c r="Y990" s="34"/>
      <c r="Z990" s="34">
        <v>0</v>
      </c>
      <c r="AA990" s="34">
        <f t="shared" si="310"/>
        <v>0</v>
      </c>
      <c r="AB990" s="8">
        <f t="shared" si="311"/>
        <v>461534.38356164383</v>
      </c>
      <c r="AC990" s="4">
        <f t="shared" si="307"/>
        <v>665850</v>
      </c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</row>
    <row r="991" spans="1:61" s="37" customFormat="1" ht="27.6" customHeight="1" x14ac:dyDescent="0.2">
      <c r="A991" s="9">
        <v>977</v>
      </c>
      <c r="B991" s="58" t="s">
        <v>767</v>
      </c>
      <c r="C991" s="9" t="s">
        <v>473</v>
      </c>
      <c r="D991" s="71">
        <v>13929000</v>
      </c>
      <c r="E991" s="9"/>
      <c r="F991" s="9"/>
      <c r="G991" s="62"/>
      <c r="H991" s="54">
        <v>7.5</v>
      </c>
      <c r="I991" s="34"/>
      <c r="J991" s="34"/>
      <c r="K991" s="34"/>
      <c r="L991" s="34"/>
      <c r="M991" s="34">
        <v>0</v>
      </c>
      <c r="N991" s="34">
        <v>0</v>
      </c>
      <c r="O991" s="34"/>
      <c r="P991" s="34"/>
      <c r="Q991" s="34"/>
      <c r="R991" s="34"/>
      <c r="S991" s="34">
        <f t="shared" si="308"/>
        <v>13929000</v>
      </c>
      <c r="T991" s="34">
        <v>0</v>
      </c>
      <c r="U991" s="34">
        <v>0</v>
      </c>
      <c r="V991" s="34"/>
      <c r="W991" s="34"/>
      <c r="X991" s="34"/>
      <c r="Y991" s="34"/>
      <c r="Z991" s="34">
        <v>0</v>
      </c>
      <c r="AA991" s="34">
        <f t="shared" ref="AA991:AA995" si="312">(N991*7.5%)/365*6</f>
        <v>0</v>
      </c>
      <c r="AB991" s="8">
        <f>(S991*7.5%)/365*203</f>
        <v>581011.0273972603</v>
      </c>
      <c r="AC991" s="4">
        <f t="shared" si="307"/>
        <v>1044675</v>
      </c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</row>
    <row r="992" spans="1:61" s="37" customFormat="1" ht="27.6" customHeight="1" x14ac:dyDescent="0.2">
      <c r="A992" s="9">
        <v>978</v>
      </c>
      <c r="B992" s="58" t="s">
        <v>767</v>
      </c>
      <c r="C992" s="9" t="s">
        <v>473</v>
      </c>
      <c r="D992" s="71">
        <v>13560000</v>
      </c>
      <c r="E992" s="9"/>
      <c r="F992" s="9"/>
      <c r="G992" s="62"/>
      <c r="H992" s="54">
        <v>7.5</v>
      </c>
      <c r="I992" s="34"/>
      <c r="J992" s="34"/>
      <c r="K992" s="34"/>
      <c r="L992" s="34"/>
      <c r="M992" s="34">
        <v>0</v>
      </c>
      <c r="N992" s="34">
        <v>0</v>
      </c>
      <c r="O992" s="34"/>
      <c r="P992" s="34"/>
      <c r="Q992" s="34"/>
      <c r="R992" s="34"/>
      <c r="S992" s="34">
        <f t="shared" si="308"/>
        <v>13560000</v>
      </c>
      <c r="T992" s="34">
        <v>0</v>
      </c>
      <c r="U992" s="34">
        <v>0</v>
      </c>
      <c r="V992" s="34"/>
      <c r="W992" s="34"/>
      <c r="X992" s="34"/>
      <c r="Y992" s="34"/>
      <c r="Z992" s="34">
        <v>0</v>
      </c>
      <c r="AA992" s="34">
        <f t="shared" si="312"/>
        <v>0</v>
      </c>
      <c r="AB992" s="8">
        <f t="shared" ref="AB992:AB995" si="313">(S992*7.5%)/365*203</f>
        <v>565619.17808219185</v>
      </c>
      <c r="AC992" s="4">
        <f t="shared" si="307"/>
        <v>1017000</v>
      </c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</row>
    <row r="993" spans="1:61" s="37" customFormat="1" ht="27.6" customHeight="1" x14ac:dyDescent="0.2">
      <c r="A993" s="9">
        <v>979</v>
      </c>
      <c r="B993" s="58" t="s">
        <v>767</v>
      </c>
      <c r="C993" s="9" t="s">
        <v>473</v>
      </c>
      <c r="D993" s="71">
        <v>1163000</v>
      </c>
      <c r="E993" s="9"/>
      <c r="F993" s="9"/>
      <c r="G993" s="62"/>
      <c r="H993" s="54">
        <v>7.5</v>
      </c>
      <c r="I993" s="34"/>
      <c r="J993" s="34"/>
      <c r="K993" s="34"/>
      <c r="L993" s="34"/>
      <c r="M993" s="34">
        <v>0</v>
      </c>
      <c r="N993" s="34">
        <v>0</v>
      </c>
      <c r="O993" s="34"/>
      <c r="P993" s="34"/>
      <c r="Q993" s="34"/>
      <c r="R993" s="34"/>
      <c r="S993" s="34">
        <f t="shared" si="308"/>
        <v>1163000</v>
      </c>
      <c r="T993" s="34">
        <v>0</v>
      </c>
      <c r="U993" s="34">
        <v>0</v>
      </c>
      <c r="V993" s="34"/>
      <c r="W993" s="34"/>
      <c r="X993" s="34"/>
      <c r="Y993" s="34"/>
      <c r="Z993" s="34">
        <v>0</v>
      </c>
      <c r="AA993" s="34">
        <f t="shared" si="312"/>
        <v>0</v>
      </c>
      <c r="AB993" s="8">
        <f t="shared" si="313"/>
        <v>48511.438356164384</v>
      </c>
      <c r="AC993" s="4">
        <f t="shared" si="307"/>
        <v>87225</v>
      </c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</row>
    <row r="994" spans="1:61" s="37" customFormat="1" ht="27.6" customHeight="1" x14ac:dyDescent="0.2">
      <c r="A994" s="9">
        <v>980</v>
      </c>
      <c r="B994" s="58" t="s">
        <v>767</v>
      </c>
      <c r="C994" s="9" t="s">
        <v>473</v>
      </c>
      <c r="D994" s="71">
        <v>10485000</v>
      </c>
      <c r="E994" s="9"/>
      <c r="F994" s="9"/>
      <c r="G994" s="62"/>
      <c r="H994" s="54">
        <v>7.5</v>
      </c>
      <c r="I994" s="34"/>
      <c r="J994" s="34"/>
      <c r="K994" s="34"/>
      <c r="L994" s="34"/>
      <c r="M994" s="34">
        <v>0</v>
      </c>
      <c r="N994" s="34">
        <v>0</v>
      </c>
      <c r="O994" s="34"/>
      <c r="P994" s="34"/>
      <c r="Q994" s="34"/>
      <c r="R994" s="34"/>
      <c r="S994" s="34">
        <f t="shared" si="308"/>
        <v>10485000</v>
      </c>
      <c r="T994" s="34">
        <v>0</v>
      </c>
      <c r="U994" s="34">
        <v>0</v>
      </c>
      <c r="V994" s="34"/>
      <c r="W994" s="34"/>
      <c r="X994" s="34"/>
      <c r="Y994" s="34"/>
      <c r="Z994" s="34">
        <v>0</v>
      </c>
      <c r="AA994" s="34">
        <f t="shared" si="312"/>
        <v>0</v>
      </c>
      <c r="AB994" s="8">
        <f t="shared" si="313"/>
        <v>437353.7671232876</v>
      </c>
      <c r="AC994" s="4">
        <f t="shared" si="307"/>
        <v>786375</v>
      </c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</row>
    <row r="995" spans="1:61" s="37" customFormat="1" ht="27.6" customHeight="1" x14ac:dyDescent="0.2">
      <c r="A995" s="9">
        <v>981</v>
      </c>
      <c r="B995" s="58" t="s">
        <v>767</v>
      </c>
      <c r="C995" s="9" t="s">
        <v>473</v>
      </c>
      <c r="D995" s="71">
        <v>7818000</v>
      </c>
      <c r="E995" s="9"/>
      <c r="F995" s="9"/>
      <c r="G995" s="62"/>
      <c r="H995" s="54">
        <v>7.5</v>
      </c>
      <c r="I995" s="34"/>
      <c r="J995" s="34"/>
      <c r="K995" s="34"/>
      <c r="L995" s="34"/>
      <c r="M995" s="34">
        <v>0</v>
      </c>
      <c r="N995" s="34">
        <v>0</v>
      </c>
      <c r="O995" s="34"/>
      <c r="P995" s="34"/>
      <c r="Q995" s="34"/>
      <c r="R995" s="34"/>
      <c r="S995" s="34">
        <f t="shared" si="308"/>
        <v>7818000</v>
      </c>
      <c r="T995" s="34">
        <v>0</v>
      </c>
      <c r="U995" s="34">
        <v>0</v>
      </c>
      <c r="V995" s="34"/>
      <c r="W995" s="34"/>
      <c r="X995" s="34"/>
      <c r="Y995" s="34"/>
      <c r="Z995" s="34">
        <v>0</v>
      </c>
      <c r="AA995" s="34">
        <f t="shared" si="312"/>
        <v>0</v>
      </c>
      <c r="AB995" s="8">
        <f t="shared" si="313"/>
        <v>326106.98630136985</v>
      </c>
      <c r="AC995" s="4">
        <f t="shared" si="307"/>
        <v>586350</v>
      </c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</row>
    <row r="996" spans="1:61" s="37" customFormat="1" ht="27.6" customHeight="1" x14ac:dyDescent="0.2">
      <c r="A996" s="9">
        <v>982</v>
      </c>
      <c r="B996" s="58" t="s">
        <v>768</v>
      </c>
      <c r="C996" s="9" t="s">
        <v>473</v>
      </c>
      <c r="D996" s="71">
        <v>7690000</v>
      </c>
      <c r="E996" s="9"/>
      <c r="F996" s="9"/>
      <c r="G996" s="62"/>
      <c r="H996" s="54">
        <v>7.5</v>
      </c>
      <c r="I996" s="34"/>
      <c r="J996" s="34"/>
      <c r="K996" s="34"/>
      <c r="L996" s="34"/>
      <c r="M996" s="34">
        <v>0</v>
      </c>
      <c r="N996" s="34">
        <v>0</v>
      </c>
      <c r="O996" s="34"/>
      <c r="P996" s="34"/>
      <c r="Q996" s="34"/>
      <c r="R996" s="34"/>
      <c r="S996" s="34">
        <f t="shared" si="308"/>
        <v>7690000</v>
      </c>
      <c r="T996" s="34">
        <v>0</v>
      </c>
      <c r="U996" s="34">
        <v>0</v>
      </c>
      <c r="V996" s="34"/>
      <c r="W996" s="34"/>
      <c r="X996" s="34"/>
      <c r="Y996" s="34"/>
      <c r="Z996" s="34">
        <v>0</v>
      </c>
      <c r="AA996" s="34">
        <f t="shared" si="309"/>
        <v>0</v>
      </c>
      <c r="AB996" s="8">
        <f>(S996*7.5%)/365*202</f>
        <v>319187.67123287672</v>
      </c>
      <c r="AC996" s="4">
        <f t="shared" si="307"/>
        <v>576750</v>
      </c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</row>
    <row r="997" spans="1:61" s="37" customFormat="1" ht="27.6" customHeight="1" x14ac:dyDescent="0.2">
      <c r="A997" s="9">
        <v>983</v>
      </c>
      <c r="B997" s="58" t="s">
        <v>769</v>
      </c>
      <c r="C997" s="9" t="s">
        <v>473</v>
      </c>
      <c r="D997" s="71">
        <v>2413000</v>
      </c>
      <c r="E997" s="9"/>
      <c r="F997" s="9"/>
      <c r="G997" s="62"/>
      <c r="H997" s="54">
        <v>7.5</v>
      </c>
      <c r="I997" s="34"/>
      <c r="J997" s="34"/>
      <c r="K997" s="34"/>
      <c r="L997" s="34"/>
      <c r="M997" s="34">
        <v>0</v>
      </c>
      <c r="N997" s="34">
        <v>0</v>
      </c>
      <c r="O997" s="34"/>
      <c r="P997" s="34"/>
      <c r="Q997" s="34"/>
      <c r="R997" s="34"/>
      <c r="S997" s="34">
        <f t="shared" si="308"/>
        <v>2413000</v>
      </c>
      <c r="T997" s="34">
        <v>0</v>
      </c>
      <c r="U997" s="34">
        <v>0</v>
      </c>
      <c r="V997" s="34"/>
      <c r="W997" s="34"/>
      <c r="X997" s="34"/>
      <c r="Y997" s="34"/>
      <c r="Z997" s="34">
        <v>0</v>
      </c>
      <c r="AA997" s="34">
        <f t="shared" ref="AA997:AA999" si="314">(N997*7.5%)/365*6</f>
        <v>0</v>
      </c>
      <c r="AB997" s="8">
        <f>(S997*7.5%)/365*196</f>
        <v>97181.095890410958</v>
      </c>
      <c r="AC997" s="4">
        <f t="shared" si="307"/>
        <v>180975</v>
      </c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</row>
    <row r="998" spans="1:61" s="37" customFormat="1" ht="27.6" customHeight="1" x14ac:dyDescent="0.2">
      <c r="A998" s="9">
        <v>984</v>
      </c>
      <c r="B998" s="58" t="s">
        <v>769</v>
      </c>
      <c r="C998" s="9" t="s">
        <v>473</v>
      </c>
      <c r="D998" s="71">
        <v>1000000</v>
      </c>
      <c r="E998" s="9"/>
      <c r="F998" s="9"/>
      <c r="G998" s="62"/>
      <c r="H998" s="54">
        <v>7.5</v>
      </c>
      <c r="I998" s="34"/>
      <c r="J998" s="34"/>
      <c r="K998" s="34"/>
      <c r="L998" s="34"/>
      <c r="M998" s="34">
        <v>0</v>
      </c>
      <c r="N998" s="34">
        <v>0</v>
      </c>
      <c r="O998" s="34"/>
      <c r="P998" s="34"/>
      <c r="Q998" s="34"/>
      <c r="R998" s="34"/>
      <c r="S998" s="34">
        <f t="shared" si="308"/>
        <v>1000000</v>
      </c>
      <c r="T998" s="34">
        <v>0</v>
      </c>
      <c r="U998" s="34">
        <v>0</v>
      </c>
      <c r="V998" s="34"/>
      <c r="W998" s="34"/>
      <c r="X998" s="34"/>
      <c r="Y998" s="34"/>
      <c r="Z998" s="34">
        <v>0</v>
      </c>
      <c r="AA998" s="34">
        <f t="shared" si="314"/>
        <v>0</v>
      </c>
      <c r="AB998" s="8">
        <f t="shared" ref="AB998:AB999" si="315">(S998*7.5%)/365*196</f>
        <v>40273.972602739726</v>
      </c>
      <c r="AC998" s="4">
        <f t="shared" si="307"/>
        <v>75000</v>
      </c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</row>
    <row r="999" spans="1:61" s="37" customFormat="1" ht="27.6" customHeight="1" x14ac:dyDescent="0.2">
      <c r="A999" s="9">
        <v>985</v>
      </c>
      <c r="B999" s="58" t="s">
        <v>769</v>
      </c>
      <c r="C999" s="9" t="s">
        <v>473</v>
      </c>
      <c r="D999" s="71">
        <v>3324000</v>
      </c>
      <c r="E999" s="9"/>
      <c r="F999" s="9"/>
      <c r="G999" s="62"/>
      <c r="H999" s="54">
        <v>7.5</v>
      </c>
      <c r="I999" s="34"/>
      <c r="J999" s="34"/>
      <c r="K999" s="34"/>
      <c r="L999" s="34"/>
      <c r="M999" s="34">
        <v>0</v>
      </c>
      <c r="N999" s="34">
        <v>0</v>
      </c>
      <c r="O999" s="34"/>
      <c r="P999" s="34"/>
      <c r="Q999" s="34"/>
      <c r="R999" s="34"/>
      <c r="S999" s="34">
        <f t="shared" si="308"/>
        <v>3324000</v>
      </c>
      <c r="T999" s="34">
        <v>0</v>
      </c>
      <c r="U999" s="34">
        <v>0</v>
      </c>
      <c r="V999" s="34"/>
      <c r="W999" s="34"/>
      <c r="X999" s="34"/>
      <c r="Y999" s="34"/>
      <c r="Z999" s="34">
        <v>0</v>
      </c>
      <c r="AA999" s="34">
        <f t="shared" si="314"/>
        <v>0</v>
      </c>
      <c r="AB999" s="8">
        <f t="shared" si="315"/>
        <v>133870.68493150687</v>
      </c>
      <c r="AC999" s="4">
        <f t="shared" si="307"/>
        <v>249300</v>
      </c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</row>
    <row r="1000" spans="1:61" s="37" customFormat="1" ht="27.6" customHeight="1" x14ac:dyDescent="0.2">
      <c r="A1000" s="9">
        <v>986</v>
      </c>
      <c r="B1000" s="58" t="s">
        <v>771</v>
      </c>
      <c r="C1000" s="9" t="s">
        <v>473</v>
      </c>
      <c r="D1000" s="71">
        <v>1057000</v>
      </c>
      <c r="E1000" s="9"/>
      <c r="F1000" s="9"/>
      <c r="G1000" s="62"/>
      <c r="H1000" s="54">
        <v>7.5</v>
      </c>
      <c r="I1000" s="34"/>
      <c r="J1000" s="34"/>
      <c r="K1000" s="34"/>
      <c r="L1000" s="34"/>
      <c r="M1000" s="34">
        <v>0</v>
      </c>
      <c r="N1000" s="34">
        <v>0</v>
      </c>
      <c r="O1000" s="34"/>
      <c r="P1000" s="34"/>
      <c r="Q1000" s="34"/>
      <c r="R1000" s="34"/>
      <c r="S1000" s="34">
        <f t="shared" si="308"/>
        <v>1057000</v>
      </c>
      <c r="T1000" s="34">
        <v>0</v>
      </c>
      <c r="U1000" s="34">
        <v>0</v>
      </c>
      <c r="V1000" s="34"/>
      <c r="W1000" s="34"/>
      <c r="X1000" s="34"/>
      <c r="Y1000" s="34"/>
      <c r="Z1000" s="34">
        <v>0</v>
      </c>
      <c r="AA1000" s="34">
        <f t="shared" ref="AA1000:AA1001" si="316">(N1000*7.5%)/365*6</f>
        <v>0</v>
      </c>
      <c r="AB1000" s="8">
        <f>(S1000*7.5%)/365*191</f>
        <v>41483.630136986299</v>
      </c>
      <c r="AC1000" s="4">
        <f t="shared" si="307"/>
        <v>79275</v>
      </c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</row>
    <row r="1001" spans="1:61" s="37" customFormat="1" ht="27.6" customHeight="1" x14ac:dyDescent="0.2">
      <c r="A1001" s="9">
        <v>987</v>
      </c>
      <c r="B1001" s="58" t="s">
        <v>771</v>
      </c>
      <c r="C1001" s="9" t="s">
        <v>473</v>
      </c>
      <c r="D1001" s="71">
        <v>38910000</v>
      </c>
      <c r="E1001" s="9"/>
      <c r="F1001" s="9"/>
      <c r="G1001" s="62"/>
      <c r="H1001" s="54">
        <v>7.5</v>
      </c>
      <c r="I1001" s="34"/>
      <c r="J1001" s="34"/>
      <c r="K1001" s="34"/>
      <c r="L1001" s="34"/>
      <c r="M1001" s="34">
        <v>0</v>
      </c>
      <c r="N1001" s="34">
        <v>0</v>
      </c>
      <c r="O1001" s="34"/>
      <c r="P1001" s="34"/>
      <c r="Q1001" s="34"/>
      <c r="R1001" s="34"/>
      <c r="S1001" s="34">
        <f t="shared" si="308"/>
        <v>38910000</v>
      </c>
      <c r="T1001" s="34">
        <v>0</v>
      </c>
      <c r="U1001" s="34">
        <v>0</v>
      </c>
      <c r="V1001" s="34"/>
      <c r="W1001" s="34"/>
      <c r="X1001" s="34"/>
      <c r="Y1001" s="34"/>
      <c r="Z1001" s="34">
        <v>0</v>
      </c>
      <c r="AA1001" s="34">
        <f t="shared" si="316"/>
        <v>0</v>
      </c>
      <c r="AB1001" s="8">
        <f>(S1001*7.5%)/365*191</f>
        <v>1527084.2465753425</v>
      </c>
      <c r="AC1001" s="4">
        <f t="shared" si="307"/>
        <v>2918250</v>
      </c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</row>
    <row r="1002" spans="1:61" s="37" customFormat="1" ht="27.6" customHeight="1" x14ac:dyDescent="0.2">
      <c r="A1002" s="9">
        <v>988</v>
      </c>
      <c r="B1002" s="58" t="s">
        <v>773</v>
      </c>
      <c r="C1002" s="9" t="s">
        <v>772</v>
      </c>
      <c r="D1002" s="71">
        <v>180763000</v>
      </c>
      <c r="E1002" s="9"/>
      <c r="F1002" s="9"/>
      <c r="G1002" s="62"/>
      <c r="H1002" s="54">
        <v>7.5</v>
      </c>
      <c r="I1002" s="34"/>
      <c r="J1002" s="34"/>
      <c r="K1002" s="34"/>
      <c r="L1002" s="34"/>
      <c r="M1002" s="34">
        <v>0</v>
      </c>
      <c r="N1002" s="34">
        <v>0</v>
      </c>
      <c r="O1002" s="34"/>
      <c r="P1002" s="34"/>
      <c r="Q1002" s="34"/>
      <c r="R1002" s="34"/>
      <c r="S1002" s="34">
        <f t="shared" si="308"/>
        <v>180763000</v>
      </c>
      <c r="T1002" s="34">
        <v>0</v>
      </c>
      <c r="U1002" s="34">
        <v>0</v>
      </c>
      <c r="V1002" s="34"/>
      <c r="W1002" s="34"/>
      <c r="X1002" s="34"/>
      <c r="Y1002" s="34"/>
      <c r="Z1002" s="34">
        <v>0</v>
      </c>
      <c r="AA1002" s="34">
        <f t="shared" ref="AA1002" si="317">(N1002*7.5%)/365*6</f>
        <v>0</v>
      </c>
      <c r="AB1002" s="8">
        <f>(S1002*7.5%)/365*189</f>
        <v>7020042.5342465751</v>
      </c>
      <c r="AC1002" s="4">
        <f t="shared" si="307"/>
        <v>13557225</v>
      </c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</row>
    <row r="1003" spans="1:61" s="37" customFormat="1" ht="27.6" customHeight="1" x14ac:dyDescent="0.2">
      <c r="A1003" s="9">
        <v>989</v>
      </c>
      <c r="B1003" s="58" t="s">
        <v>774</v>
      </c>
      <c r="C1003" s="9" t="s">
        <v>473</v>
      </c>
      <c r="D1003" s="71">
        <v>1001000</v>
      </c>
      <c r="E1003" s="9"/>
      <c r="F1003" s="9"/>
      <c r="G1003" s="62"/>
      <c r="H1003" s="54">
        <v>7.5</v>
      </c>
      <c r="I1003" s="34"/>
      <c r="J1003" s="34"/>
      <c r="K1003" s="34"/>
      <c r="L1003" s="34"/>
      <c r="M1003" s="34">
        <v>0</v>
      </c>
      <c r="N1003" s="34">
        <v>0</v>
      </c>
      <c r="O1003" s="34"/>
      <c r="P1003" s="34"/>
      <c r="Q1003" s="34"/>
      <c r="R1003" s="34"/>
      <c r="S1003" s="34">
        <f t="shared" si="308"/>
        <v>1001000</v>
      </c>
      <c r="T1003" s="34">
        <v>0</v>
      </c>
      <c r="U1003" s="34">
        <v>0</v>
      </c>
      <c r="V1003" s="34"/>
      <c r="W1003" s="34"/>
      <c r="X1003" s="34"/>
      <c r="Y1003" s="34"/>
      <c r="Z1003" s="34">
        <v>0</v>
      </c>
      <c r="AA1003" s="34">
        <f t="shared" ref="AA1003" si="318">(N1003*7.5%)/365*6</f>
        <v>0</v>
      </c>
      <c r="AB1003" s="8">
        <f>(S1003*7.5%)/365*162</f>
        <v>33320.95890410959</v>
      </c>
      <c r="AC1003" s="4">
        <f t="shared" si="307"/>
        <v>75075</v>
      </c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</row>
    <row r="1004" spans="1:61" s="37" customFormat="1" ht="27.6" customHeight="1" x14ac:dyDescent="0.2">
      <c r="A1004" s="9">
        <v>990</v>
      </c>
      <c r="B1004" s="58" t="s">
        <v>775</v>
      </c>
      <c r="C1004" s="9" t="s">
        <v>473</v>
      </c>
      <c r="D1004" s="71">
        <v>1014000</v>
      </c>
      <c r="E1004" s="9"/>
      <c r="F1004" s="9"/>
      <c r="G1004" s="62"/>
      <c r="H1004" s="54">
        <v>7.5</v>
      </c>
      <c r="I1004" s="34"/>
      <c r="J1004" s="34"/>
      <c r="K1004" s="34"/>
      <c r="L1004" s="34"/>
      <c r="M1004" s="34">
        <v>0</v>
      </c>
      <c r="N1004" s="34">
        <v>0</v>
      </c>
      <c r="O1004" s="34"/>
      <c r="P1004" s="34"/>
      <c r="Q1004" s="34"/>
      <c r="R1004" s="34"/>
      <c r="S1004" s="34">
        <f t="shared" si="308"/>
        <v>1014000</v>
      </c>
      <c r="T1004" s="34">
        <v>0</v>
      </c>
      <c r="U1004" s="34">
        <v>0</v>
      </c>
      <c r="V1004" s="34"/>
      <c r="W1004" s="34"/>
      <c r="X1004" s="34"/>
      <c r="Y1004" s="34"/>
      <c r="Z1004" s="34">
        <v>0</v>
      </c>
      <c r="AA1004" s="34">
        <f t="shared" ref="AA1004:AA1005" si="319">(N1004*7.5%)/365*6</f>
        <v>0</v>
      </c>
      <c r="AB1004" s="8">
        <f>(S1004*7.5%)/365*161</f>
        <v>33545.34246575342</v>
      </c>
      <c r="AC1004" s="4">
        <f t="shared" si="307"/>
        <v>76050</v>
      </c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</row>
    <row r="1005" spans="1:61" s="37" customFormat="1" ht="27.6" customHeight="1" x14ac:dyDescent="0.2">
      <c r="A1005" s="9">
        <v>991</v>
      </c>
      <c r="B1005" s="58" t="s">
        <v>775</v>
      </c>
      <c r="C1005" s="9" t="s">
        <v>473</v>
      </c>
      <c r="D1005" s="71">
        <v>1000000</v>
      </c>
      <c r="E1005" s="9"/>
      <c r="F1005" s="9"/>
      <c r="G1005" s="62"/>
      <c r="H1005" s="54">
        <v>7.5</v>
      </c>
      <c r="I1005" s="34"/>
      <c r="J1005" s="34"/>
      <c r="K1005" s="34"/>
      <c r="L1005" s="34"/>
      <c r="M1005" s="34">
        <v>0</v>
      </c>
      <c r="N1005" s="34">
        <v>0</v>
      </c>
      <c r="O1005" s="34"/>
      <c r="P1005" s="34"/>
      <c r="Q1005" s="34"/>
      <c r="R1005" s="34"/>
      <c r="S1005" s="34">
        <f t="shared" si="308"/>
        <v>1000000</v>
      </c>
      <c r="T1005" s="34">
        <v>0</v>
      </c>
      <c r="U1005" s="34">
        <v>0</v>
      </c>
      <c r="V1005" s="34"/>
      <c r="W1005" s="34"/>
      <c r="X1005" s="34"/>
      <c r="Y1005" s="34"/>
      <c r="Z1005" s="34">
        <v>0</v>
      </c>
      <c r="AA1005" s="34">
        <f t="shared" si="319"/>
        <v>0</v>
      </c>
      <c r="AB1005" s="8">
        <f>(S1005*7.5%)/365*161</f>
        <v>33082.191780821915</v>
      </c>
      <c r="AC1005" s="4">
        <f t="shared" si="307"/>
        <v>75000</v>
      </c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</row>
    <row r="1006" spans="1:61" s="37" customFormat="1" ht="27.6" customHeight="1" x14ac:dyDescent="0.2">
      <c r="A1006" s="9">
        <v>992</v>
      </c>
      <c r="B1006" s="58" t="s">
        <v>777</v>
      </c>
      <c r="C1006" s="9" t="s">
        <v>473</v>
      </c>
      <c r="D1006" s="71">
        <v>6920000</v>
      </c>
      <c r="E1006" s="9"/>
      <c r="F1006" s="9"/>
      <c r="G1006" s="62"/>
      <c r="H1006" s="54">
        <v>7.5</v>
      </c>
      <c r="I1006" s="34"/>
      <c r="J1006" s="34"/>
      <c r="K1006" s="34"/>
      <c r="L1006" s="34"/>
      <c r="M1006" s="34">
        <v>0</v>
      </c>
      <c r="N1006" s="34">
        <v>0</v>
      </c>
      <c r="O1006" s="34"/>
      <c r="P1006" s="34"/>
      <c r="Q1006" s="34"/>
      <c r="R1006" s="34"/>
      <c r="S1006" s="34">
        <f t="shared" si="308"/>
        <v>6920000</v>
      </c>
      <c r="T1006" s="34">
        <v>0</v>
      </c>
      <c r="U1006" s="34">
        <v>0</v>
      </c>
      <c r="V1006" s="34"/>
      <c r="W1006" s="34"/>
      <c r="X1006" s="34"/>
      <c r="Y1006" s="34"/>
      <c r="Z1006" s="34">
        <v>0</v>
      </c>
      <c r="AA1006" s="34">
        <f t="shared" ref="AA1006" si="320">(N1006*7.5%)/365*6</f>
        <v>0</v>
      </c>
      <c r="AB1006" s="8">
        <f>(S1006*7.5%)/365*142</f>
        <v>201912.32876712328</v>
      </c>
      <c r="AC1006" s="4">
        <f t="shared" si="307"/>
        <v>519000</v>
      </c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</row>
    <row r="1007" spans="1:61" s="37" customFormat="1" ht="27.6" customHeight="1" x14ac:dyDescent="0.2">
      <c r="A1007" s="9">
        <v>993</v>
      </c>
      <c r="B1007" s="58" t="s">
        <v>778</v>
      </c>
      <c r="C1007" s="9" t="s">
        <v>473</v>
      </c>
      <c r="D1007" s="71">
        <v>7185000</v>
      </c>
      <c r="E1007" s="9"/>
      <c r="F1007" s="9"/>
      <c r="G1007" s="62"/>
      <c r="H1007" s="54">
        <v>7.5</v>
      </c>
      <c r="I1007" s="34"/>
      <c r="J1007" s="34"/>
      <c r="K1007" s="34"/>
      <c r="L1007" s="34"/>
      <c r="M1007" s="34">
        <v>0</v>
      </c>
      <c r="N1007" s="34">
        <v>0</v>
      </c>
      <c r="O1007" s="34"/>
      <c r="P1007" s="34"/>
      <c r="Q1007" s="34"/>
      <c r="R1007" s="34"/>
      <c r="S1007" s="34">
        <f t="shared" si="308"/>
        <v>7185000</v>
      </c>
      <c r="T1007" s="34">
        <v>0</v>
      </c>
      <c r="U1007" s="34">
        <v>0</v>
      </c>
      <c r="V1007" s="34"/>
      <c r="W1007" s="34"/>
      <c r="X1007" s="34"/>
      <c r="Y1007" s="34"/>
      <c r="Z1007" s="34">
        <v>0</v>
      </c>
      <c r="AA1007" s="34">
        <f t="shared" ref="AA1007:AA1008" si="321">(N1007*7.5%)/365*6</f>
        <v>0</v>
      </c>
      <c r="AB1007" s="8">
        <f>(S1007*7.5%)/365*141</f>
        <v>208168.15068493152</v>
      </c>
      <c r="AC1007" s="4">
        <f t="shared" si="307"/>
        <v>538875</v>
      </c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</row>
    <row r="1008" spans="1:61" s="37" customFormat="1" ht="27.6" customHeight="1" x14ac:dyDescent="0.2">
      <c r="A1008" s="9">
        <v>994</v>
      </c>
      <c r="B1008" s="58" t="s">
        <v>778</v>
      </c>
      <c r="C1008" s="9" t="s">
        <v>473</v>
      </c>
      <c r="D1008" s="71">
        <v>1130000</v>
      </c>
      <c r="E1008" s="9"/>
      <c r="F1008" s="9"/>
      <c r="G1008" s="62"/>
      <c r="H1008" s="54">
        <v>7.5</v>
      </c>
      <c r="I1008" s="34"/>
      <c r="J1008" s="34"/>
      <c r="K1008" s="34"/>
      <c r="L1008" s="34"/>
      <c r="M1008" s="34">
        <v>0</v>
      </c>
      <c r="N1008" s="34">
        <v>0</v>
      </c>
      <c r="O1008" s="34"/>
      <c r="P1008" s="34"/>
      <c r="Q1008" s="34"/>
      <c r="R1008" s="34"/>
      <c r="S1008" s="34">
        <f t="shared" si="308"/>
        <v>1130000</v>
      </c>
      <c r="T1008" s="34">
        <v>0</v>
      </c>
      <c r="U1008" s="34">
        <v>0</v>
      </c>
      <c r="V1008" s="34"/>
      <c r="W1008" s="34"/>
      <c r="X1008" s="34"/>
      <c r="Y1008" s="34"/>
      <c r="Z1008" s="34">
        <v>0</v>
      </c>
      <c r="AA1008" s="34">
        <f t="shared" si="321"/>
        <v>0</v>
      </c>
      <c r="AB1008" s="8">
        <f>(S1008*7.5%)/365*141</f>
        <v>32739.04109589041</v>
      </c>
      <c r="AC1008" s="4">
        <f t="shared" si="307"/>
        <v>84750</v>
      </c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</row>
    <row r="1009" spans="1:61" s="37" customFormat="1" ht="27.6" customHeight="1" x14ac:dyDescent="0.2">
      <c r="A1009" s="9">
        <v>995</v>
      </c>
      <c r="B1009" s="58" t="s">
        <v>780</v>
      </c>
      <c r="C1009" s="9" t="s">
        <v>473</v>
      </c>
      <c r="D1009" s="71">
        <v>1242000</v>
      </c>
      <c r="E1009" s="9"/>
      <c r="F1009" s="9"/>
      <c r="G1009" s="62"/>
      <c r="H1009" s="54">
        <v>7.5</v>
      </c>
      <c r="I1009" s="34"/>
      <c r="J1009" s="34"/>
      <c r="K1009" s="34"/>
      <c r="L1009" s="34"/>
      <c r="M1009" s="34">
        <v>0</v>
      </c>
      <c r="N1009" s="34">
        <v>0</v>
      </c>
      <c r="O1009" s="34"/>
      <c r="P1009" s="34"/>
      <c r="Q1009" s="34"/>
      <c r="R1009" s="34"/>
      <c r="S1009" s="34">
        <f t="shared" si="308"/>
        <v>1242000</v>
      </c>
      <c r="T1009" s="34">
        <v>0</v>
      </c>
      <c r="U1009" s="34">
        <v>0</v>
      </c>
      <c r="V1009" s="34"/>
      <c r="W1009" s="34"/>
      <c r="X1009" s="34"/>
      <c r="Y1009" s="34"/>
      <c r="Z1009" s="34">
        <v>0</v>
      </c>
      <c r="AA1009" s="34">
        <f t="shared" ref="AA1009" si="322">(N1009*7.5%)/365*6</f>
        <v>0</v>
      </c>
      <c r="AB1009" s="8">
        <f>(S1009*7.5%)/365*135</f>
        <v>34452.739726027394</v>
      </c>
      <c r="AC1009" s="4">
        <f t="shared" si="307"/>
        <v>93150</v>
      </c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</row>
    <row r="1010" spans="1:61" s="37" customFormat="1" ht="27.6" customHeight="1" x14ac:dyDescent="0.2">
      <c r="A1010" s="9">
        <v>996</v>
      </c>
      <c r="B1010" s="58" t="s">
        <v>785</v>
      </c>
      <c r="C1010" s="9" t="s">
        <v>473</v>
      </c>
      <c r="D1010" s="71">
        <v>1070000</v>
      </c>
      <c r="E1010" s="9"/>
      <c r="F1010" s="9"/>
      <c r="G1010" s="62"/>
      <c r="H1010" s="54">
        <v>7.5</v>
      </c>
      <c r="I1010" s="34"/>
      <c r="J1010" s="34"/>
      <c r="K1010" s="34"/>
      <c r="L1010" s="34"/>
      <c r="M1010" s="34">
        <v>0</v>
      </c>
      <c r="N1010" s="34">
        <v>0</v>
      </c>
      <c r="O1010" s="34"/>
      <c r="P1010" s="34"/>
      <c r="Q1010" s="34"/>
      <c r="R1010" s="34"/>
      <c r="S1010" s="34">
        <f t="shared" si="308"/>
        <v>1070000</v>
      </c>
      <c r="T1010" s="34">
        <v>0</v>
      </c>
      <c r="U1010" s="34">
        <v>0</v>
      </c>
      <c r="V1010" s="34"/>
      <c r="W1010" s="34"/>
      <c r="X1010" s="34"/>
      <c r="Y1010" s="34"/>
      <c r="Z1010" s="34">
        <v>0</v>
      </c>
      <c r="AA1010" s="34">
        <f t="shared" ref="AA1010:AA1011" si="323">(N1010*7.5%)/365*6</f>
        <v>0</v>
      </c>
      <c r="AB1010" s="8">
        <f>(S1010*7.5%)/365*113</f>
        <v>24844.520547945205</v>
      </c>
      <c r="AC1010" s="4">
        <f t="shared" si="307"/>
        <v>80250</v>
      </c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</row>
    <row r="1011" spans="1:61" s="37" customFormat="1" ht="27.6" customHeight="1" x14ac:dyDescent="0.2">
      <c r="A1011" s="9">
        <v>997</v>
      </c>
      <c r="B1011" s="58" t="s">
        <v>785</v>
      </c>
      <c r="C1011" s="9" t="s">
        <v>473</v>
      </c>
      <c r="D1011" s="71">
        <v>15919000</v>
      </c>
      <c r="E1011" s="9"/>
      <c r="F1011" s="9"/>
      <c r="G1011" s="62"/>
      <c r="H1011" s="54">
        <v>7.5</v>
      </c>
      <c r="I1011" s="34"/>
      <c r="J1011" s="34"/>
      <c r="K1011" s="34"/>
      <c r="L1011" s="34"/>
      <c r="M1011" s="34">
        <v>0</v>
      </c>
      <c r="N1011" s="34">
        <v>0</v>
      </c>
      <c r="O1011" s="34"/>
      <c r="P1011" s="34"/>
      <c r="Q1011" s="34"/>
      <c r="R1011" s="34"/>
      <c r="S1011" s="34">
        <f t="shared" si="308"/>
        <v>15919000</v>
      </c>
      <c r="T1011" s="34">
        <v>0</v>
      </c>
      <c r="U1011" s="34">
        <v>0</v>
      </c>
      <c r="V1011" s="34"/>
      <c r="W1011" s="34"/>
      <c r="X1011" s="34"/>
      <c r="Y1011" s="34"/>
      <c r="Z1011" s="34">
        <v>0</v>
      </c>
      <c r="AA1011" s="34">
        <f t="shared" si="323"/>
        <v>0</v>
      </c>
      <c r="AB1011" s="8">
        <f>(S1011*7.5%)/365*113</f>
        <v>369626.09589041094</v>
      </c>
      <c r="AC1011" s="4">
        <f t="shared" si="307"/>
        <v>1193925</v>
      </c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</row>
    <row r="1012" spans="1:61" s="37" customFormat="1" ht="27.6" customHeight="1" x14ac:dyDescent="0.2">
      <c r="A1012" s="9">
        <v>998</v>
      </c>
      <c r="B1012" s="58" t="s">
        <v>786</v>
      </c>
      <c r="C1012" s="9" t="s">
        <v>473</v>
      </c>
      <c r="D1012" s="71">
        <v>31393000</v>
      </c>
      <c r="E1012" s="9"/>
      <c r="F1012" s="9"/>
      <c r="G1012" s="62"/>
      <c r="H1012" s="54">
        <v>7.5</v>
      </c>
      <c r="I1012" s="34"/>
      <c r="J1012" s="34"/>
      <c r="K1012" s="34"/>
      <c r="L1012" s="34"/>
      <c r="M1012" s="34">
        <v>0</v>
      </c>
      <c r="N1012" s="34">
        <v>0</v>
      </c>
      <c r="O1012" s="34"/>
      <c r="P1012" s="34"/>
      <c r="Q1012" s="34"/>
      <c r="R1012" s="34"/>
      <c r="S1012" s="34">
        <f t="shared" si="308"/>
        <v>31393000</v>
      </c>
      <c r="T1012" s="34">
        <v>0</v>
      </c>
      <c r="U1012" s="34">
        <v>0</v>
      </c>
      <c r="V1012" s="34"/>
      <c r="W1012" s="34"/>
      <c r="X1012" s="34"/>
      <c r="Y1012" s="34"/>
      <c r="Z1012" s="34">
        <v>0</v>
      </c>
      <c r="AA1012" s="34">
        <f t="shared" ref="AA1012" si="324">(N1012*7.5%)/365*6</f>
        <v>0</v>
      </c>
      <c r="AB1012" s="8">
        <f>(S1012*7.5%)/365*92</f>
        <v>593456.71232876717</v>
      </c>
      <c r="AC1012" s="4">
        <f t="shared" si="307"/>
        <v>2354475</v>
      </c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</row>
    <row r="1013" spans="1:61" s="37" customFormat="1" ht="27.6" customHeight="1" x14ac:dyDescent="0.2">
      <c r="A1013" s="9">
        <v>999</v>
      </c>
      <c r="B1013" s="58" t="s">
        <v>792</v>
      </c>
      <c r="C1013" s="9" t="s">
        <v>473</v>
      </c>
      <c r="D1013" s="71">
        <v>18150000</v>
      </c>
      <c r="E1013" s="9"/>
      <c r="F1013" s="9"/>
      <c r="G1013" s="62"/>
      <c r="H1013" s="54">
        <v>7.25</v>
      </c>
      <c r="I1013" s="34"/>
      <c r="J1013" s="34"/>
      <c r="K1013" s="34"/>
      <c r="L1013" s="34"/>
      <c r="M1013" s="34">
        <v>0</v>
      </c>
      <c r="N1013" s="34">
        <v>0</v>
      </c>
      <c r="O1013" s="34"/>
      <c r="P1013" s="34"/>
      <c r="Q1013" s="34"/>
      <c r="R1013" s="34"/>
      <c r="S1013" s="34">
        <f t="shared" si="308"/>
        <v>18150000</v>
      </c>
      <c r="T1013" s="34">
        <v>0</v>
      </c>
      <c r="U1013" s="34">
        <v>0</v>
      </c>
      <c r="V1013" s="34"/>
      <c r="W1013" s="34"/>
      <c r="X1013" s="34"/>
      <c r="Y1013" s="34"/>
      <c r="Z1013" s="34">
        <v>0</v>
      </c>
      <c r="AA1013" s="34">
        <f t="shared" ref="AA1013:AA1015" si="325">(N1013*7.5%)/365*6</f>
        <v>0</v>
      </c>
      <c r="AB1013" s="8">
        <f>(S1013*7.25%)/365*76</f>
        <v>273990.41095890407</v>
      </c>
      <c r="AC1013" s="4">
        <f t="shared" si="307"/>
        <v>1315875</v>
      </c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</row>
    <row r="1014" spans="1:61" s="37" customFormat="1" ht="27.6" customHeight="1" x14ac:dyDescent="0.2">
      <c r="A1014" s="9">
        <v>1000</v>
      </c>
      <c r="B1014" s="58" t="s">
        <v>792</v>
      </c>
      <c r="C1014" s="9" t="s">
        <v>473</v>
      </c>
      <c r="D1014" s="71">
        <v>1182000</v>
      </c>
      <c r="E1014" s="9"/>
      <c r="F1014" s="9"/>
      <c r="G1014" s="62"/>
      <c r="H1014" s="54">
        <v>7.25</v>
      </c>
      <c r="I1014" s="34"/>
      <c r="J1014" s="34"/>
      <c r="K1014" s="34"/>
      <c r="L1014" s="34"/>
      <c r="M1014" s="34">
        <v>0</v>
      </c>
      <c r="N1014" s="34">
        <v>0</v>
      </c>
      <c r="O1014" s="34"/>
      <c r="P1014" s="34"/>
      <c r="Q1014" s="34"/>
      <c r="R1014" s="34"/>
      <c r="S1014" s="34">
        <f t="shared" si="308"/>
        <v>1182000</v>
      </c>
      <c r="T1014" s="34">
        <v>0</v>
      </c>
      <c r="U1014" s="34">
        <v>0</v>
      </c>
      <c r="V1014" s="34"/>
      <c r="W1014" s="34"/>
      <c r="X1014" s="34"/>
      <c r="Y1014" s="34"/>
      <c r="Z1014" s="34">
        <v>0</v>
      </c>
      <c r="AA1014" s="34">
        <f t="shared" si="325"/>
        <v>0</v>
      </c>
      <c r="AB1014" s="8">
        <f t="shared" ref="AB1014:AB1015" si="326">(S1014*7.25%)/365*76</f>
        <v>17843.342465753427</v>
      </c>
      <c r="AC1014" s="4">
        <f t="shared" si="307"/>
        <v>85695</v>
      </c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</row>
    <row r="1015" spans="1:61" s="37" customFormat="1" ht="27.6" customHeight="1" x14ac:dyDescent="0.2">
      <c r="A1015" s="9">
        <v>1001</v>
      </c>
      <c r="B1015" s="58" t="s">
        <v>792</v>
      </c>
      <c r="C1015" s="9" t="s">
        <v>473</v>
      </c>
      <c r="D1015" s="71">
        <v>1510000</v>
      </c>
      <c r="E1015" s="9"/>
      <c r="F1015" s="9"/>
      <c r="G1015" s="62"/>
      <c r="H1015" s="54">
        <v>7.25</v>
      </c>
      <c r="I1015" s="34"/>
      <c r="J1015" s="34"/>
      <c r="K1015" s="34"/>
      <c r="L1015" s="34"/>
      <c r="M1015" s="34">
        <v>0</v>
      </c>
      <c r="N1015" s="34">
        <v>0</v>
      </c>
      <c r="O1015" s="34"/>
      <c r="P1015" s="34"/>
      <c r="Q1015" s="34"/>
      <c r="R1015" s="34"/>
      <c r="S1015" s="34">
        <f t="shared" si="308"/>
        <v>1510000</v>
      </c>
      <c r="T1015" s="34">
        <v>0</v>
      </c>
      <c r="U1015" s="34">
        <v>0</v>
      </c>
      <c r="V1015" s="34"/>
      <c r="W1015" s="34"/>
      <c r="X1015" s="34"/>
      <c r="Y1015" s="34"/>
      <c r="Z1015" s="34">
        <v>0</v>
      </c>
      <c r="AA1015" s="34">
        <f t="shared" si="325"/>
        <v>0</v>
      </c>
      <c r="AB1015" s="8">
        <f t="shared" si="326"/>
        <v>22794.794520547945</v>
      </c>
      <c r="AC1015" s="4">
        <f t="shared" si="307"/>
        <v>109474.99999999999</v>
      </c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</row>
    <row r="1016" spans="1:61" s="37" customFormat="1" ht="27.6" customHeight="1" x14ac:dyDescent="0.2">
      <c r="A1016" s="9">
        <v>1002</v>
      </c>
      <c r="B1016" s="58" t="s">
        <v>794</v>
      </c>
      <c r="C1016" s="9" t="s">
        <v>473</v>
      </c>
      <c r="D1016" s="71">
        <v>103507000</v>
      </c>
      <c r="E1016" s="9"/>
      <c r="F1016" s="9"/>
      <c r="G1016" s="62"/>
      <c r="H1016" s="54">
        <v>7.25</v>
      </c>
      <c r="I1016" s="34"/>
      <c r="J1016" s="34"/>
      <c r="K1016" s="34"/>
      <c r="L1016" s="34"/>
      <c r="M1016" s="34">
        <v>0</v>
      </c>
      <c r="N1016" s="34">
        <v>0</v>
      </c>
      <c r="O1016" s="34"/>
      <c r="P1016" s="34"/>
      <c r="Q1016" s="34"/>
      <c r="R1016" s="34"/>
      <c r="S1016" s="34">
        <f t="shared" si="308"/>
        <v>103507000</v>
      </c>
      <c r="T1016" s="34">
        <v>0</v>
      </c>
      <c r="U1016" s="34">
        <v>0</v>
      </c>
      <c r="V1016" s="34"/>
      <c r="W1016" s="34"/>
      <c r="X1016" s="34"/>
      <c r="Y1016" s="34"/>
      <c r="Z1016" s="34">
        <v>0</v>
      </c>
      <c r="AA1016" s="34">
        <f t="shared" ref="AA1016" si="327">(N1016*7.5%)/365*6</f>
        <v>0</v>
      </c>
      <c r="AB1016" s="8">
        <f>(S1016*7.25%)/365*57</f>
        <v>1171897.7465753425</v>
      </c>
      <c r="AC1016" s="4">
        <f t="shared" si="307"/>
        <v>7504257.4999999991</v>
      </c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</row>
    <row r="1017" spans="1:61" s="107" customFormat="1" ht="27.6" customHeight="1" x14ac:dyDescent="0.2">
      <c r="A1017" s="114"/>
      <c r="B1017" s="110"/>
      <c r="C1017" s="105" t="s">
        <v>123</v>
      </c>
      <c r="D1017" s="109">
        <f>SUM(D856:D1016)</f>
        <v>6572173000</v>
      </c>
      <c r="E1017" s="103"/>
      <c r="F1017" s="103"/>
      <c r="G1017" s="111"/>
      <c r="H1017" s="112"/>
      <c r="I1017" s="109"/>
      <c r="J1017" s="109"/>
      <c r="K1017" s="109"/>
      <c r="L1017" s="109">
        <f>SUM(L856:L899)</f>
        <v>0</v>
      </c>
      <c r="M1017" s="109">
        <f t="shared" ref="M1017:AC1017" si="328">SUM(M856:M1016)</f>
        <v>4356718000</v>
      </c>
      <c r="N1017" s="109">
        <f t="shared" si="328"/>
        <v>5980375000</v>
      </c>
      <c r="O1017" s="109">
        <f t="shared" si="328"/>
        <v>0</v>
      </c>
      <c r="P1017" s="109">
        <f t="shared" si="328"/>
        <v>0</v>
      </c>
      <c r="Q1017" s="109">
        <f t="shared" si="328"/>
        <v>0</v>
      </c>
      <c r="R1017" s="109">
        <f t="shared" si="328"/>
        <v>0</v>
      </c>
      <c r="S1017" s="109">
        <f t="shared" si="328"/>
        <v>6179425200</v>
      </c>
      <c r="T1017" s="109">
        <f t="shared" si="328"/>
        <v>0</v>
      </c>
      <c r="U1017" s="109">
        <f t="shared" si="328"/>
        <v>392747800</v>
      </c>
      <c r="V1017" s="109">
        <f t="shared" si="328"/>
        <v>0</v>
      </c>
      <c r="W1017" s="109">
        <f t="shared" si="328"/>
        <v>0</v>
      </c>
      <c r="X1017" s="109">
        <f t="shared" si="328"/>
        <v>0</v>
      </c>
      <c r="Y1017" s="109">
        <f t="shared" si="328"/>
        <v>14497038</v>
      </c>
      <c r="Z1017" s="109">
        <f t="shared" si="328"/>
        <v>871343600</v>
      </c>
      <c r="AA1017" s="109">
        <f t="shared" si="328"/>
        <v>265874990.96575344</v>
      </c>
      <c r="AB1017" s="109">
        <f t="shared" si="328"/>
        <v>444368479.71917796</v>
      </c>
      <c r="AC1017" s="109">
        <f t="shared" si="328"/>
        <v>442252590.5</v>
      </c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</row>
    <row r="1018" spans="1:61" s="133" customFormat="1" ht="27.6" customHeight="1" x14ac:dyDescent="0.2">
      <c r="A1018" s="163">
        <v>1003</v>
      </c>
      <c r="B1018" s="58" t="s">
        <v>571</v>
      </c>
      <c r="C1018" s="9" t="s">
        <v>572</v>
      </c>
      <c r="D1018" s="71">
        <v>144638000</v>
      </c>
      <c r="E1018" s="9"/>
      <c r="F1018" s="9"/>
      <c r="G1018" s="62"/>
      <c r="H1018" s="54">
        <v>7.5</v>
      </c>
      <c r="I1018" s="34"/>
      <c r="J1018" s="34"/>
      <c r="K1018" s="34"/>
      <c r="L1018" s="34"/>
      <c r="M1018" s="34">
        <f>N1018</f>
        <v>144638000</v>
      </c>
      <c r="N1018" s="34">
        <v>144638000</v>
      </c>
      <c r="O1018" s="34"/>
      <c r="P1018" s="34"/>
      <c r="Q1018" s="34"/>
      <c r="R1018" s="34"/>
      <c r="S1018" s="34">
        <f>N1018-U1018</f>
        <v>144638000</v>
      </c>
      <c r="T1018" s="34">
        <v>0</v>
      </c>
      <c r="U1018" s="34">
        <v>0</v>
      </c>
      <c r="V1018" s="34"/>
      <c r="W1018" s="34"/>
      <c r="X1018" s="34"/>
      <c r="Y1018" s="34"/>
      <c r="Z1018" s="34">
        <f>D1018/5</f>
        <v>28927600</v>
      </c>
      <c r="AA1018" s="34">
        <f>AB1018/365*217</f>
        <v>6449269.7260273974</v>
      </c>
      <c r="AB1018" s="8">
        <f>N1018*7.5/100</f>
        <v>10847850</v>
      </c>
      <c r="AC1018" s="4">
        <f t="shared" ref="AC1018:AC1081" si="329">S1018*H1018%</f>
        <v>10847850</v>
      </c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</row>
    <row r="1019" spans="1:61" s="133" customFormat="1" ht="27.6" customHeight="1" x14ac:dyDescent="0.2">
      <c r="A1019" s="163">
        <v>1004</v>
      </c>
      <c r="B1019" s="58" t="s">
        <v>579</v>
      </c>
      <c r="C1019" s="9" t="s">
        <v>572</v>
      </c>
      <c r="D1019" s="71">
        <v>19900000</v>
      </c>
      <c r="E1019" s="9"/>
      <c r="F1019" s="9"/>
      <c r="G1019" s="62"/>
      <c r="H1019" s="54">
        <v>7.5</v>
      </c>
      <c r="I1019" s="34"/>
      <c r="J1019" s="34"/>
      <c r="K1019" s="34"/>
      <c r="L1019" s="34"/>
      <c r="M1019" s="34">
        <f t="shared" ref="M1019:M1033" si="330">N1019</f>
        <v>19900000</v>
      </c>
      <c r="N1019" s="34">
        <v>19900000</v>
      </c>
      <c r="O1019" s="34"/>
      <c r="P1019" s="34"/>
      <c r="Q1019" s="34"/>
      <c r="R1019" s="34"/>
      <c r="S1019" s="34">
        <f t="shared" ref="S1019:S1033" si="331">N1019-U1019</f>
        <v>19900000</v>
      </c>
      <c r="T1019" s="34">
        <v>0</v>
      </c>
      <c r="U1019" s="34">
        <v>0</v>
      </c>
      <c r="V1019" s="34"/>
      <c r="W1019" s="34"/>
      <c r="X1019" s="34"/>
      <c r="Y1019" s="34"/>
      <c r="Z1019" s="34">
        <f t="shared" ref="Z1019:Z1033" si="332">D1019/5</f>
        <v>3980000</v>
      </c>
      <c r="AA1019" s="34">
        <f>AB1019/365*182</f>
        <v>744205.47945205471</v>
      </c>
      <c r="AB1019" s="8">
        <f t="shared" ref="AB1019:AB1024" si="333">N1019*7.5/100</f>
        <v>1492500</v>
      </c>
      <c r="AC1019" s="4">
        <f t="shared" si="329"/>
        <v>1492500</v>
      </c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</row>
    <row r="1020" spans="1:61" s="133" customFormat="1" ht="27.6" customHeight="1" x14ac:dyDescent="0.2">
      <c r="A1020" s="163">
        <v>1005</v>
      </c>
      <c r="B1020" s="58" t="s">
        <v>586</v>
      </c>
      <c r="C1020" s="9" t="s">
        <v>572</v>
      </c>
      <c r="D1020" s="71">
        <v>170738000</v>
      </c>
      <c r="E1020" s="9"/>
      <c r="F1020" s="9"/>
      <c r="G1020" s="62"/>
      <c r="H1020" s="54">
        <v>7.5</v>
      </c>
      <c r="I1020" s="34"/>
      <c r="J1020" s="34"/>
      <c r="K1020" s="34"/>
      <c r="L1020" s="34"/>
      <c r="M1020" s="34">
        <f t="shared" si="330"/>
        <v>170738000</v>
      </c>
      <c r="N1020" s="34">
        <v>170738000</v>
      </c>
      <c r="O1020" s="34"/>
      <c r="P1020" s="34"/>
      <c r="Q1020" s="34"/>
      <c r="R1020" s="34"/>
      <c r="S1020" s="34">
        <f t="shared" si="331"/>
        <v>170738000</v>
      </c>
      <c r="T1020" s="34">
        <v>0</v>
      </c>
      <c r="U1020" s="34">
        <v>0</v>
      </c>
      <c r="V1020" s="34"/>
      <c r="W1020" s="34"/>
      <c r="X1020" s="34"/>
      <c r="Y1020" s="34"/>
      <c r="Z1020" s="34">
        <f t="shared" si="332"/>
        <v>34147600</v>
      </c>
      <c r="AA1020" s="34">
        <f>AB1020/365*120</f>
        <v>4209978.0821917802</v>
      </c>
      <c r="AB1020" s="8">
        <f t="shared" si="333"/>
        <v>12805350</v>
      </c>
      <c r="AC1020" s="4">
        <f t="shared" si="329"/>
        <v>12805350</v>
      </c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</row>
    <row r="1021" spans="1:61" s="133" customFormat="1" ht="27.6" customHeight="1" x14ac:dyDescent="0.2">
      <c r="A1021" s="163">
        <v>1006</v>
      </c>
      <c r="B1021" s="58" t="s">
        <v>587</v>
      </c>
      <c r="C1021" s="9" t="s">
        <v>572</v>
      </c>
      <c r="D1021" s="71">
        <v>41212000</v>
      </c>
      <c r="E1021" s="9"/>
      <c r="F1021" s="9"/>
      <c r="G1021" s="62"/>
      <c r="H1021" s="54">
        <v>7.5</v>
      </c>
      <c r="I1021" s="34"/>
      <c r="J1021" s="34"/>
      <c r="K1021" s="34"/>
      <c r="L1021" s="34"/>
      <c r="M1021" s="34">
        <f t="shared" si="330"/>
        <v>41212000</v>
      </c>
      <c r="N1021" s="34">
        <v>41212000</v>
      </c>
      <c r="O1021" s="34"/>
      <c r="P1021" s="34"/>
      <c r="Q1021" s="34"/>
      <c r="R1021" s="34"/>
      <c r="S1021" s="34">
        <f t="shared" si="331"/>
        <v>41212000</v>
      </c>
      <c r="T1021" s="34">
        <v>0</v>
      </c>
      <c r="U1021" s="34">
        <v>0</v>
      </c>
      <c r="V1021" s="34"/>
      <c r="W1021" s="34"/>
      <c r="X1021" s="34"/>
      <c r="Y1021" s="34"/>
      <c r="Z1021" s="34">
        <f t="shared" si="332"/>
        <v>8242400</v>
      </c>
      <c r="AA1021" s="34">
        <f>AB1021/365*111</f>
        <v>939972.32876712328</v>
      </c>
      <c r="AB1021" s="8">
        <f t="shared" si="333"/>
        <v>3090900</v>
      </c>
      <c r="AC1021" s="4">
        <f t="shared" si="329"/>
        <v>3090900</v>
      </c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</row>
    <row r="1022" spans="1:61" s="133" customFormat="1" ht="27.6" customHeight="1" x14ac:dyDescent="0.2">
      <c r="A1022" s="163">
        <v>1007</v>
      </c>
      <c r="B1022" s="58" t="s">
        <v>588</v>
      </c>
      <c r="C1022" s="9" t="s">
        <v>572</v>
      </c>
      <c r="D1022" s="71">
        <v>83193000</v>
      </c>
      <c r="E1022" s="9"/>
      <c r="F1022" s="9"/>
      <c r="G1022" s="62"/>
      <c r="H1022" s="54">
        <v>7.5</v>
      </c>
      <c r="I1022" s="34"/>
      <c r="J1022" s="34"/>
      <c r="K1022" s="34"/>
      <c r="L1022" s="34"/>
      <c r="M1022" s="34">
        <f t="shared" si="330"/>
        <v>83193000</v>
      </c>
      <c r="N1022" s="34">
        <v>83193000</v>
      </c>
      <c r="O1022" s="34"/>
      <c r="P1022" s="34"/>
      <c r="Q1022" s="34"/>
      <c r="R1022" s="34"/>
      <c r="S1022" s="34">
        <f t="shared" si="331"/>
        <v>83193000</v>
      </c>
      <c r="T1022" s="34">
        <v>0</v>
      </c>
      <c r="U1022" s="34">
        <v>0</v>
      </c>
      <c r="V1022" s="34"/>
      <c r="W1022" s="34"/>
      <c r="X1022" s="34"/>
      <c r="Y1022" s="34"/>
      <c r="Z1022" s="34">
        <f t="shared" si="332"/>
        <v>16638600</v>
      </c>
      <c r="AA1022" s="34">
        <f>AB1022/365*106</f>
        <v>1812011.9178082193</v>
      </c>
      <c r="AB1022" s="8">
        <f t="shared" si="333"/>
        <v>6239475</v>
      </c>
      <c r="AC1022" s="4">
        <f t="shared" si="329"/>
        <v>6239475</v>
      </c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</row>
    <row r="1023" spans="1:61" s="133" customFormat="1" ht="27.6" customHeight="1" x14ac:dyDescent="0.2">
      <c r="A1023" s="163">
        <v>1008</v>
      </c>
      <c r="B1023" s="58" t="s">
        <v>588</v>
      </c>
      <c r="C1023" s="9" t="s">
        <v>572</v>
      </c>
      <c r="D1023" s="71">
        <v>527153000</v>
      </c>
      <c r="E1023" s="9"/>
      <c r="F1023" s="9"/>
      <c r="G1023" s="62"/>
      <c r="H1023" s="54">
        <v>7.5</v>
      </c>
      <c r="I1023" s="34"/>
      <c r="J1023" s="34"/>
      <c r="K1023" s="34"/>
      <c r="L1023" s="34"/>
      <c r="M1023" s="34">
        <f t="shared" si="330"/>
        <v>527153000</v>
      </c>
      <c r="N1023" s="34">
        <v>527153000</v>
      </c>
      <c r="O1023" s="34"/>
      <c r="P1023" s="34"/>
      <c r="Q1023" s="34"/>
      <c r="R1023" s="34"/>
      <c r="S1023" s="34">
        <f t="shared" si="331"/>
        <v>527153000</v>
      </c>
      <c r="T1023" s="34">
        <v>0</v>
      </c>
      <c r="U1023" s="34">
        <v>0</v>
      </c>
      <c r="V1023" s="34"/>
      <c r="W1023" s="34"/>
      <c r="X1023" s="34"/>
      <c r="Y1023" s="34"/>
      <c r="Z1023" s="34">
        <f t="shared" si="332"/>
        <v>105430600</v>
      </c>
      <c r="AA1023" s="34">
        <f>AB1023/365*106</f>
        <v>11481825.616438355</v>
      </c>
      <c r="AB1023" s="8">
        <f t="shared" si="333"/>
        <v>39536475</v>
      </c>
      <c r="AC1023" s="4">
        <f t="shared" si="329"/>
        <v>39536475</v>
      </c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</row>
    <row r="1024" spans="1:61" s="133" customFormat="1" ht="27.6" customHeight="1" x14ac:dyDescent="0.2">
      <c r="A1024" s="163">
        <v>1009</v>
      </c>
      <c r="B1024" s="58" t="s">
        <v>592</v>
      </c>
      <c r="C1024" s="9" t="s">
        <v>572</v>
      </c>
      <c r="D1024" s="71">
        <v>267146000</v>
      </c>
      <c r="E1024" s="9"/>
      <c r="F1024" s="9"/>
      <c r="G1024" s="62"/>
      <c r="H1024" s="54">
        <v>7.5</v>
      </c>
      <c r="I1024" s="34"/>
      <c r="J1024" s="34"/>
      <c r="K1024" s="34"/>
      <c r="L1024" s="34"/>
      <c r="M1024" s="34">
        <f t="shared" si="330"/>
        <v>267146000</v>
      </c>
      <c r="N1024" s="34">
        <v>267146000</v>
      </c>
      <c r="O1024" s="34"/>
      <c r="P1024" s="34"/>
      <c r="Q1024" s="34"/>
      <c r="R1024" s="34"/>
      <c r="S1024" s="34">
        <f t="shared" si="331"/>
        <v>267146000</v>
      </c>
      <c r="T1024" s="34">
        <v>0</v>
      </c>
      <c r="U1024" s="34">
        <v>0</v>
      </c>
      <c r="V1024" s="34"/>
      <c r="W1024" s="34"/>
      <c r="X1024" s="34"/>
      <c r="Y1024" s="34"/>
      <c r="Z1024" s="34">
        <f t="shared" si="332"/>
        <v>53429200</v>
      </c>
      <c r="AA1024" s="34">
        <f>AB1024/365*79</f>
        <v>4336548.0821917811</v>
      </c>
      <c r="AB1024" s="8">
        <f t="shared" si="333"/>
        <v>20035950</v>
      </c>
      <c r="AC1024" s="4">
        <f t="shared" si="329"/>
        <v>20035950</v>
      </c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</row>
    <row r="1025" spans="1:61" s="133" customFormat="1" ht="27.6" customHeight="1" x14ac:dyDescent="0.2">
      <c r="A1025" s="163">
        <v>1010</v>
      </c>
      <c r="B1025" s="58" t="s">
        <v>634</v>
      </c>
      <c r="C1025" s="9" t="s">
        <v>572</v>
      </c>
      <c r="D1025" s="71">
        <v>940313000</v>
      </c>
      <c r="E1025" s="9"/>
      <c r="F1025" s="9"/>
      <c r="G1025" s="62"/>
      <c r="H1025" s="54">
        <v>7</v>
      </c>
      <c r="I1025" s="34"/>
      <c r="J1025" s="34"/>
      <c r="K1025" s="34"/>
      <c r="L1025" s="34"/>
      <c r="M1025" s="34">
        <f t="shared" si="330"/>
        <v>940313000</v>
      </c>
      <c r="N1025" s="34">
        <v>940313000</v>
      </c>
      <c r="O1025" s="34"/>
      <c r="P1025" s="34"/>
      <c r="Q1025" s="34"/>
      <c r="R1025" s="34"/>
      <c r="S1025" s="34">
        <f t="shared" si="331"/>
        <v>940313000</v>
      </c>
      <c r="T1025" s="34">
        <v>0</v>
      </c>
      <c r="U1025" s="34">
        <v>0</v>
      </c>
      <c r="V1025" s="34"/>
      <c r="W1025" s="34"/>
      <c r="X1025" s="34"/>
      <c r="Y1025" s="34"/>
      <c r="Z1025" s="34">
        <f t="shared" si="332"/>
        <v>188062600</v>
      </c>
      <c r="AA1025" s="34">
        <f>AB1025/365*11</f>
        <v>1983674</v>
      </c>
      <c r="AB1025" s="8">
        <f>N1025*7/100</f>
        <v>65821910</v>
      </c>
      <c r="AC1025" s="4">
        <f t="shared" si="329"/>
        <v>65821910.000000007</v>
      </c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</row>
    <row r="1026" spans="1:61" s="133" customFormat="1" ht="27.6" customHeight="1" x14ac:dyDescent="0.2">
      <c r="A1026" s="163">
        <v>1011</v>
      </c>
      <c r="B1026" s="58" t="s">
        <v>634</v>
      </c>
      <c r="C1026" s="9" t="s">
        <v>572</v>
      </c>
      <c r="D1026" s="71">
        <v>113804000</v>
      </c>
      <c r="E1026" s="9"/>
      <c r="F1026" s="9"/>
      <c r="G1026" s="62"/>
      <c r="H1026" s="54">
        <v>7</v>
      </c>
      <c r="I1026" s="34"/>
      <c r="J1026" s="34"/>
      <c r="K1026" s="34"/>
      <c r="L1026" s="34"/>
      <c r="M1026" s="34">
        <f t="shared" si="330"/>
        <v>113804000</v>
      </c>
      <c r="N1026" s="34">
        <v>113804000</v>
      </c>
      <c r="O1026" s="34"/>
      <c r="P1026" s="34"/>
      <c r="Q1026" s="34"/>
      <c r="R1026" s="34"/>
      <c r="S1026" s="34">
        <f t="shared" si="331"/>
        <v>113804000</v>
      </c>
      <c r="T1026" s="34">
        <v>0</v>
      </c>
      <c r="U1026" s="34">
        <v>0</v>
      </c>
      <c r="V1026" s="34"/>
      <c r="W1026" s="34"/>
      <c r="X1026" s="34"/>
      <c r="Y1026" s="34"/>
      <c r="Z1026" s="34">
        <f t="shared" si="332"/>
        <v>22760800</v>
      </c>
      <c r="AA1026" s="34">
        <f>AB1026/365*11</f>
        <v>240079.67123287672</v>
      </c>
      <c r="AB1026" s="8">
        <f>N1026*7/100</f>
        <v>7966280</v>
      </c>
      <c r="AC1026" s="4">
        <f t="shared" si="329"/>
        <v>7966280.0000000009</v>
      </c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</row>
    <row r="1027" spans="1:61" s="133" customFormat="1" ht="27.6" customHeight="1" x14ac:dyDescent="0.2">
      <c r="A1027" s="163">
        <v>1012</v>
      </c>
      <c r="B1027" s="58" t="s">
        <v>635</v>
      </c>
      <c r="C1027" s="9" t="s">
        <v>572</v>
      </c>
      <c r="D1027" s="71">
        <v>60775000</v>
      </c>
      <c r="E1027" s="9"/>
      <c r="F1027" s="9"/>
      <c r="G1027" s="62"/>
      <c r="H1027" s="54">
        <v>7</v>
      </c>
      <c r="I1027" s="34"/>
      <c r="J1027" s="34"/>
      <c r="K1027" s="34"/>
      <c r="L1027" s="34"/>
      <c r="M1027" s="34">
        <f t="shared" si="330"/>
        <v>60775000</v>
      </c>
      <c r="N1027" s="34">
        <f>D1027</f>
        <v>60775000</v>
      </c>
      <c r="O1027" s="34"/>
      <c r="P1027" s="34"/>
      <c r="Q1027" s="34"/>
      <c r="R1027" s="34"/>
      <c r="S1027" s="34">
        <f t="shared" si="331"/>
        <v>60775000</v>
      </c>
      <c r="T1027" s="34">
        <v>0</v>
      </c>
      <c r="U1027" s="34">
        <v>0</v>
      </c>
      <c r="V1027" s="34"/>
      <c r="W1027" s="34"/>
      <c r="X1027" s="34"/>
      <c r="Y1027" s="34"/>
      <c r="Z1027" s="34">
        <f t="shared" si="332"/>
        <v>12155000</v>
      </c>
      <c r="AA1027" s="34">
        <f>AB1027/365*7</f>
        <v>81588.356164383556</v>
      </c>
      <c r="AB1027" s="8">
        <f>N1027*7/100</f>
        <v>4254250</v>
      </c>
      <c r="AC1027" s="4">
        <f t="shared" si="329"/>
        <v>4254250</v>
      </c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</row>
    <row r="1028" spans="1:61" s="133" customFormat="1" ht="27.6" customHeight="1" x14ac:dyDescent="0.2">
      <c r="A1028" s="163">
        <v>1013</v>
      </c>
      <c r="B1028" s="58" t="s">
        <v>635</v>
      </c>
      <c r="C1028" s="9" t="s">
        <v>572</v>
      </c>
      <c r="D1028" s="71">
        <v>37745000</v>
      </c>
      <c r="E1028" s="9"/>
      <c r="F1028" s="9"/>
      <c r="G1028" s="62"/>
      <c r="H1028" s="54">
        <v>7</v>
      </c>
      <c r="I1028" s="34"/>
      <c r="J1028" s="34"/>
      <c r="K1028" s="34"/>
      <c r="L1028" s="34"/>
      <c r="M1028" s="34">
        <f t="shared" si="330"/>
        <v>37745000</v>
      </c>
      <c r="N1028" s="34">
        <f t="shared" ref="N1028:N1105" si="334">D1028</f>
        <v>37745000</v>
      </c>
      <c r="O1028" s="34"/>
      <c r="P1028" s="34"/>
      <c r="Q1028" s="34"/>
      <c r="R1028" s="34"/>
      <c r="S1028" s="34">
        <f t="shared" si="331"/>
        <v>37745000</v>
      </c>
      <c r="T1028" s="34">
        <v>0</v>
      </c>
      <c r="U1028" s="34">
        <v>0</v>
      </c>
      <c r="V1028" s="34"/>
      <c r="W1028" s="34"/>
      <c r="X1028" s="34"/>
      <c r="Y1028" s="34"/>
      <c r="Z1028" s="34">
        <f t="shared" si="332"/>
        <v>7549000</v>
      </c>
      <c r="AA1028" s="34">
        <f>AB1028/365*7</f>
        <v>50671.369863013693</v>
      </c>
      <c r="AB1028" s="8">
        <f t="shared" ref="AB1028:AB1033" si="335">N1028*7/100</f>
        <v>2642150</v>
      </c>
      <c r="AC1028" s="4">
        <f t="shared" si="329"/>
        <v>2642150.0000000005</v>
      </c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</row>
    <row r="1029" spans="1:61" s="133" customFormat="1" ht="27.6" customHeight="1" x14ac:dyDescent="0.2">
      <c r="A1029" s="163">
        <v>1014</v>
      </c>
      <c r="B1029" s="58" t="s">
        <v>635</v>
      </c>
      <c r="C1029" s="9" t="s">
        <v>572</v>
      </c>
      <c r="D1029" s="71">
        <v>37469000</v>
      </c>
      <c r="E1029" s="9"/>
      <c r="F1029" s="9"/>
      <c r="G1029" s="62"/>
      <c r="H1029" s="54">
        <v>7</v>
      </c>
      <c r="I1029" s="34"/>
      <c r="J1029" s="34"/>
      <c r="K1029" s="34"/>
      <c r="L1029" s="34"/>
      <c r="M1029" s="34">
        <f t="shared" si="330"/>
        <v>37469000</v>
      </c>
      <c r="N1029" s="34">
        <f t="shared" si="334"/>
        <v>37469000</v>
      </c>
      <c r="O1029" s="34"/>
      <c r="P1029" s="34"/>
      <c r="Q1029" s="34"/>
      <c r="R1029" s="34"/>
      <c r="S1029" s="34">
        <f t="shared" si="331"/>
        <v>37469000</v>
      </c>
      <c r="T1029" s="34">
        <v>0</v>
      </c>
      <c r="U1029" s="34">
        <v>0</v>
      </c>
      <c r="V1029" s="34"/>
      <c r="W1029" s="34"/>
      <c r="X1029" s="34"/>
      <c r="Y1029" s="34"/>
      <c r="Z1029" s="34">
        <f t="shared" si="332"/>
        <v>7493800</v>
      </c>
      <c r="AA1029" s="34">
        <f>AB1029/365*7</f>
        <v>50300.849315068488</v>
      </c>
      <c r="AB1029" s="8">
        <f t="shared" si="335"/>
        <v>2622830</v>
      </c>
      <c r="AC1029" s="4">
        <f t="shared" si="329"/>
        <v>2622830.0000000005</v>
      </c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</row>
    <row r="1030" spans="1:61" s="133" customFormat="1" ht="27.6" customHeight="1" x14ac:dyDescent="0.2">
      <c r="A1030" s="163">
        <v>1015</v>
      </c>
      <c r="B1030" s="58" t="s">
        <v>636</v>
      </c>
      <c r="C1030" s="9" t="s">
        <v>572</v>
      </c>
      <c r="D1030" s="71">
        <v>37621000</v>
      </c>
      <c r="E1030" s="9"/>
      <c r="F1030" s="9"/>
      <c r="G1030" s="62"/>
      <c r="H1030" s="54">
        <v>7</v>
      </c>
      <c r="I1030" s="34"/>
      <c r="J1030" s="34"/>
      <c r="K1030" s="34"/>
      <c r="L1030" s="34"/>
      <c r="M1030" s="34">
        <f t="shared" si="330"/>
        <v>37621000</v>
      </c>
      <c r="N1030" s="34">
        <f t="shared" si="334"/>
        <v>37621000</v>
      </c>
      <c r="O1030" s="34"/>
      <c r="P1030" s="34"/>
      <c r="Q1030" s="34"/>
      <c r="R1030" s="34"/>
      <c r="S1030" s="34">
        <f t="shared" si="331"/>
        <v>37621000</v>
      </c>
      <c r="T1030" s="34">
        <v>0</v>
      </c>
      <c r="U1030" s="34">
        <v>0</v>
      </c>
      <c r="V1030" s="34"/>
      <c r="W1030" s="34"/>
      <c r="X1030" s="34"/>
      <c r="Y1030" s="34"/>
      <c r="Z1030" s="34">
        <f t="shared" si="332"/>
        <v>7524200</v>
      </c>
      <c r="AA1030" s="34">
        <f>AB1030/365*6</f>
        <v>43289.917808219179</v>
      </c>
      <c r="AB1030" s="8">
        <f>N1030*7/100</f>
        <v>2633470</v>
      </c>
      <c r="AC1030" s="4">
        <f t="shared" si="329"/>
        <v>2633470.0000000005</v>
      </c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</row>
    <row r="1031" spans="1:61" s="133" customFormat="1" ht="27.6" customHeight="1" x14ac:dyDescent="0.2">
      <c r="A1031" s="163">
        <v>1016</v>
      </c>
      <c r="B1031" s="58" t="s">
        <v>636</v>
      </c>
      <c r="C1031" s="9" t="s">
        <v>572</v>
      </c>
      <c r="D1031" s="71">
        <v>72984000</v>
      </c>
      <c r="E1031" s="9"/>
      <c r="F1031" s="9"/>
      <c r="G1031" s="62"/>
      <c r="H1031" s="54">
        <v>7</v>
      </c>
      <c r="I1031" s="34"/>
      <c r="J1031" s="34"/>
      <c r="K1031" s="34"/>
      <c r="L1031" s="34"/>
      <c r="M1031" s="34">
        <f t="shared" si="330"/>
        <v>72984000</v>
      </c>
      <c r="N1031" s="34">
        <f t="shared" si="334"/>
        <v>72984000</v>
      </c>
      <c r="O1031" s="34"/>
      <c r="P1031" s="34"/>
      <c r="Q1031" s="34"/>
      <c r="R1031" s="34"/>
      <c r="S1031" s="34">
        <f t="shared" si="331"/>
        <v>72984000</v>
      </c>
      <c r="T1031" s="34">
        <v>0</v>
      </c>
      <c r="U1031" s="34">
        <v>0</v>
      </c>
      <c r="V1031" s="34"/>
      <c r="W1031" s="34"/>
      <c r="X1031" s="34"/>
      <c r="Y1031" s="34"/>
      <c r="Z1031" s="34">
        <f t="shared" si="332"/>
        <v>14596800</v>
      </c>
      <c r="AA1031" s="34">
        <f>AB1031/365*6</f>
        <v>83981.589041095882</v>
      </c>
      <c r="AB1031" s="8">
        <f t="shared" si="335"/>
        <v>5108880</v>
      </c>
      <c r="AC1031" s="4">
        <f t="shared" si="329"/>
        <v>5108880.0000000009</v>
      </c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</row>
    <row r="1032" spans="1:61" s="133" customFormat="1" ht="27.6" customHeight="1" x14ac:dyDescent="0.2">
      <c r="A1032" s="163">
        <v>1017</v>
      </c>
      <c r="B1032" s="58" t="s">
        <v>636</v>
      </c>
      <c r="C1032" s="9" t="s">
        <v>572</v>
      </c>
      <c r="D1032" s="71">
        <v>59278000</v>
      </c>
      <c r="E1032" s="9"/>
      <c r="F1032" s="9"/>
      <c r="G1032" s="62"/>
      <c r="H1032" s="54">
        <v>7</v>
      </c>
      <c r="I1032" s="34"/>
      <c r="J1032" s="34"/>
      <c r="K1032" s="34"/>
      <c r="L1032" s="34"/>
      <c r="M1032" s="34">
        <f t="shared" si="330"/>
        <v>59278000</v>
      </c>
      <c r="N1032" s="34">
        <f t="shared" si="334"/>
        <v>59278000</v>
      </c>
      <c r="O1032" s="34"/>
      <c r="P1032" s="34"/>
      <c r="Q1032" s="34"/>
      <c r="R1032" s="34"/>
      <c r="S1032" s="34">
        <f t="shared" si="331"/>
        <v>59278000</v>
      </c>
      <c r="T1032" s="34">
        <v>0</v>
      </c>
      <c r="U1032" s="34">
        <v>0</v>
      </c>
      <c r="V1032" s="34"/>
      <c r="W1032" s="34"/>
      <c r="X1032" s="34"/>
      <c r="Y1032" s="34"/>
      <c r="Z1032" s="34">
        <f t="shared" si="332"/>
        <v>11855600</v>
      </c>
      <c r="AA1032" s="34">
        <f>AB1032/365*6</f>
        <v>68210.301369863009</v>
      </c>
      <c r="AB1032" s="8">
        <f t="shared" si="335"/>
        <v>4149460</v>
      </c>
      <c r="AC1032" s="4">
        <f t="shared" si="329"/>
        <v>4149460.0000000005</v>
      </c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</row>
    <row r="1033" spans="1:61" s="133" customFormat="1" ht="27.6" customHeight="1" x14ac:dyDescent="0.2">
      <c r="A1033" s="163">
        <v>1018</v>
      </c>
      <c r="B1033" s="58" t="s">
        <v>636</v>
      </c>
      <c r="C1033" s="9" t="s">
        <v>572</v>
      </c>
      <c r="D1033" s="71">
        <v>71908000</v>
      </c>
      <c r="E1033" s="9"/>
      <c r="F1033" s="9"/>
      <c r="G1033" s="62"/>
      <c r="H1033" s="54">
        <v>7</v>
      </c>
      <c r="I1033" s="34"/>
      <c r="J1033" s="34"/>
      <c r="K1033" s="34"/>
      <c r="L1033" s="34"/>
      <c r="M1033" s="34">
        <f t="shared" si="330"/>
        <v>71908000</v>
      </c>
      <c r="N1033" s="34">
        <f t="shared" si="334"/>
        <v>71908000</v>
      </c>
      <c r="O1033" s="34"/>
      <c r="P1033" s="34"/>
      <c r="Q1033" s="34"/>
      <c r="R1033" s="34"/>
      <c r="S1033" s="34">
        <f t="shared" si="331"/>
        <v>71908000</v>
      </c>
      <c r="T1033" s="34">
        <v>0</v>
      </c>
      <c r="U1033" s="34">
        <v>0</v>
      </c>
      <c r="V1033" s="34"/>
      <c r="W1033" s="34"/>
      <c r="X1033" s="34"/>
      <c r="Y1033" s="34"/>
      <c r="Z1033" s="34">
        <f t="shared" si="332"/>
        <v>14381600</v>
      </c>
      <c r="AA1033" s="34">
        <f>AB1033/365*6</f>
        <v>82743.452054794529</v>
      </c>
      <c r="AB1033" s="8">
        <f t="shared" si="335"/>
        <v>5033560</v>
      </c>
      <c r="AC1033" s="4">
        <f t="shared" si="329"/>
        <v>5033560.0000000009</v>
      </c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</row>
    <row r="1034" spans="1:61" s="133" customFormat="1" ht="27.6" customHeight="1" x14ac:dyDescent="0.2">
      <c r="A1034" s="163">
        <v>1019</v>
      </c>
      <c r="B1034" s="58" t="s">
        <v>639</v>
      </c>
      <c r="C1034" s="9" t="s">
        <v>572</v>
      </c>
      <c r="D1034" s="71">
        <v>19950000</v>
      </c>
      <c r="E1034" s="9"/>
      <c r="F1034" s="9"/>
      <c r="G1034" s="62"/>
      <c r="H1034" s="54">
        <v>6.75</v>
      </c>
      <c r="I1034" s="34"/>
      <c r="J1034" s="34"/>
      <c r="K1034" s="34"/>
      <c r="L1034" s="34"/>
      <c r="M1034" s="34">
        <v>0</v>
      </c>
      <c r="N1034" s="34">
        <f t="shared" si="334"/>
        <v>19950000</v>
      </c>
      <c r="O1034" s="34"/>
      <c r="P1034" s="34"/>
      <c r="Q1034" s="34"/>
      <c r="R1034" s="34"/>
      <c r="S1034" s="34">
        <f>N1034</f>
        <v>19950000</v>
      </c>
      <c r="T1034" s="34">
        <v>0</v>
      </c>
      <c r="U1034" s="34">
        <v>0</v>
      </c>
      <c r="V1034" s="34"/>
      <c r="W1034" s="34"/>
      <c r="X1034" s="34"/>
      <c r="Y1034" s="34"/>
      <c r="Z1034" s="34">
        <v>0</v>
      </c>
      <c r="AA1034" s="34">
        <f>AB1034/365*319</f>
        <v>1176913.3561643835</v>
      </c>
      <c r="AB1034" s="8">
        <f>N1034*6.75/100</f>
        <v>1346625</v>
      </c>
      <c r="AC1034" s="4">
        <f t="shared" si="329"/>
        <v>1346625</v>
      </c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</row>
    <row r="1035" spans="1:61" s="133" customFormat="1" ht="27.6" customHeight="1" x14ac:dyDescent="0.2">
      <c r="A1035" s="163">
        <v>1020</v>
      </c>
      <c r="B1035" s="58" t="s">
        <v>3</v>
      </c>
      <c r="C1035" s="9" t="s">
        <v>572</v>
      </c>
      <c r="D1035" s="71">
        <v>67952000</v>
      </c>
      <c r="E1035" s="9"/>
      <c r="F1035" s="9"/>
      <c r="G1035" s="62"/>
      <c r="H1035" s="54">
        <v>6.75</v>
      </c>
      <c r="I1035" s="34"/>
      <c r="J1035" s="34"/>
      <c r="K1035" s="34"/>
      <c r="L1035" s="34"/>
      <c r="M1035" s="34">
        <v>0</v>
      </c>
      <c r="N1035" s="34">
        <f t="shared" si="334"/>
        <v>67952000</v>
      </c>
      <c r="O1035" s="34"/>
      <c r="P1035" s="34"/>
      <c r="Q1035" s="34"/>
      <c r="R1035" s="34"/>
      <c r="S1035" s="34">
        <f t="shared" ref="S1035:S1105" si="336">N1035</f>
        <v>67952000</v>
      </c>
      <c r="T1035" s="34">
        <v>0</v>
      </c>
      <c r="U1035" s="34">
        <v>0</v>
      </c>
      <c r="V1035" s="34"/>
      <c r="W1035" s="34"/>
      <c r="X1035" s="34"/>
      <c r="Y1035" s="34"/>
      <c r="Z1035" s="34">
        <v>0</v>
      </c>
      <c r="AA1035" s="34">
        <f>AB1035/365*294</f>
        <v>3694540.9315068494</v>
      </c>
      <c r="AB1035" s="8">
        <f>N1035*6.75/100</f>
        <v>4586760</v>
      </c>
      <c r="AC1035" s="4">
        <f t="shared" si="329"/>
        <v>4586760</v>
      </c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</row>
    <row r="1036" spans="1:61" s="133" customFormat="1" ht="27.6" customHeight="1" x14ac:dyDescent="0.2">
      <c r="A1036" s="163">
        <v>1021</v>
      </c>
      <c r="B1036" s="58" t="s">
        <v>3</v>
      </c>
      <c r="C1036" s="9" t="s">
        <v>572</v>
      </c>
      <c r="D1036" s="71">
        <v>42986000</v>
      </c>
      <c r="E1036" s="9"/>
      <c r="F1036" s="9"/>
      <c r="G1036" s="62"/>
      <c r="H1036" s="54">
        <v>6.75</v>
      </c>
      <c r="I1036" s="34"/>
      <c r="J1036" s="34"/>
      <c r="K1036" s="34"/>
      <c r="L1036" s="34"/>
      <c r="M1036" s="34">
        <v>0</v>
      </c>
      <c r="N1036" s="34">
        <f t="shared" si="334"/>
        <v>42986000</v>
      </c>
      <c r="O1036" s="34"/>
      <c r="P1036" s="34"/>
      <c r="Q1036" s="34"/>
      <c r="R1036" s="34"/>
      <c r="S1036" s="34">
        <f t="shared" si="336"/>
        <v>42986000</v>
      </c>
      <c r="T1036" s="34">
        <v>0</v>
      </c>
      <c r="U1036" s="34">
        <v>0</v>
      </c>
      <c r="V1036" s="34"/>
      <c r="W1036" s="34"/>
      <c r="X1036" s="34"/>
      <c r="Y1036" s="34"/>
      <c r="Z1036" s="34">
        <v>0</v>
      </c>
      <c r="AA1036" s="34">
        <f>AB1036/365*294</f>
        <v>2337142.9315068494</v>
      </c>
      <c r="AB1036" s="8">
        <f>N1036*6.75/100</f>
        <v>2901555</v>
      </c>
      <c r="AC1036" s="4">
        <f t="shared" si="329"/>
        <v>2901555</v>
      </c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</row>
    <row r="1037" spans="1:61" s="133" customFormat="1" ht="27.6" customHeight="1" x14ac:dyDescent="0.2">
      <c r="A1037" s="163">
        <v>1022</v>
      </c>
      <c r="B1037" s="58" t="s">
        <v>646</v>
      </c>
      <c r="C1037" s="9" t="s">
        <v>572</v>
      </c>
      <c r="D1037" s="71">
        <v>32131000</v>
      </c>
      <c r="E1037" s="9"/>
      <c r="F1037" s="9"/>
      <c r="G1037" s="62"/>
      <c r="H1037" s="54">
        <v>6.75</v>
      </c>
      <c r="I1037" s="34"/>
      <c r="J1037" s="34"/>
      <c r="K1037" s="34"/>
      <c r="L1037" s="34"/>
      <c r="M1037" s="34">
        <v>0</v>
      </c>
      <c r="N1037" s="34">
        <f t="shared" si="334"/>
        <v>32131000</v>
      </c>
      <c r="O1037" s="34"/>
      <c r="P1037" s="34"/>
      <c r="Q1037" s="34"/>
      <c r="R1037" s="34"/>
      <c r="S1037" s="34">
        <f t="shared" si="336"/>
        <v>32131000</v>
      </c>
      <c r="T1037" s="34">
        <v>0</v>
      </c>
      <c r="U1037" s="34">
        <v>0</v>
      </c>
      <c r="V1037" s="34"/>
      <c r="W1037" s="34"/>
      <c r="X1037" s="34"/>
      <c r="Y1037" s="34"/>
      <c r="Z1037" s="34">
        <v>0</v>
      </c>
      <c r="AA1037" s="34">
        <f>AB1037/365*279</f>
        <v>1657827.5547945206</v>
      </c>
      <c r="AB1037" s="8">
        <f t="shared" ref="AB1037:AB1038" si="337">N1037*6.75/100</f>
        <v>2168842.5</v>
      </c>
      <c r="AC1037" s="4">
        <f t="shared" si="329"/>
        <v>2168842.5</v>
      </c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</row>
    <row r="1038" spans="1:61" s="133" customFormat="1" ht="27.6" customHeight="1" x14ac:dyDescent="0.2">
      <c r="A1038" s="163">
        <v>1023</v>
      </c>
      <c r="B1038" s="58" t="s">
        <v>647</v>
      </c>
      <c r="C1038" s="9" t="s">
        <v>572</v>
      </c>
      <c r="D1038" s="71">
        <v>477698000</v>
      </c>
      <c r="E1038" s="9"/>
      <c r="F1038" s="9"/>
      <c r="G1038" s="62"/>
      <c r="H1038" s="54">
        <v>6.75</v>
      </c>
      <c r="I1038" s="34"/>
      <c r="J1038" s="34"/>
      <c r="K1038" s="34"/>
      <c r="L1038" s="34"/>
      <c r="M1038" s="34">
        <v>0</v>
      </c>
      <c r="N1038" s="34">
        <f t="shared" si="334"/>
        <v>477698000</v>
      </c>
      <c r="O1038" s="34"/>
      <c r="P1038" s="34"/>
      <c r="Q1038" s="34"/>
      <c r="R1038" s="34"/>
      <c r="S1038" s="34">
        <f t="shared" si="336"/>
        <v>477698000</v>
      </c>
      <c r="T1038" s="34">
        <v>0</v>
      </c>
      <c r="U1038" s="34">
        <v>0</v>
      </c>
      <c r="V1038" s="34"/>
      <c r="W1038" s="34"/>
      <c r="X1038" s="34"/>
      <c r="Y1038" s="34"/>
      <c r="Z1038" s="34">
        <v>0</v>
      </c>
      <c r="AA1038" s="34">
        <f>AB1038/365*268</f>
        <v>23675498.1369863</v>
      </c>
      <c r="AB1038" s="8">
        <f t="shared" si="337"/>
        <v>32244615</v>
      </c>
      <c r="AC1038" s="4">
        <f t="shared" si="329"/>
        <v>32244615.000000004</v>
      </c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</row>
    <row r="1039" spans="1:61" s="133" customFormat="1" ht="27.6" customHeight="1" x14ac:dyDescent="0.2">
      <c r="A1039" s="163">
        <v>1024</v>
      </c>
      <c r="B1039" s="58" t="s">
        <v>648</v>
      </c>
      <c r="C1039" s="9" t="s">
        <v>572</v>
      </c>
      <c r="D1039" s="71">
        <v>103123000</v>
      </c>
      <c r="E1039" s="9"/>
      <c r="F1039" s="9"/>
      <c r="G1039" s="62"/>
      <c r="H1039" s="54">
        <v>8.75</v>
      </c>
      <c r="I1039" s="34"/>
      <c r="J1039" s="34"/>
      <c r="K1039" s="34"/>
      <c r="L1039" s="34"/>
      <c r="M1039" s="34">
        <v>0</v>
      </c>
      <c r="N1039" s="34">
        <f t="shared" si="334"/>
        <v>103123000</v>
      </c>
      <c r="O1039" s="34"/>
      <c r="P1039" s="34"/>
      <c r="Q1039" s="34"/>
      <c r="R1039" s="34"/>
      <c r="S1039" s="34">
        <f t="shared" si="336"/>
        <v>103123000</v>
      </c>
      <c r="T1039" s="34">
        <v>0</v>
      </c>
      <c r="U1039" s="34">
        <v>0</v>
      </c>
      <c r="V1039" s="34"/>
      <c r="W1039" s="34"/>
      <c r="X1039" s="34"/>
      <c r="Y1039" s="34"/>
      <c r="Z1039" s="34">
        <v>0</v>
      </c>
      <c r="AA1039" s="34">
        <f>AB1039/365*231</f>
        <v>5710612.7054794524</v>
      </c>
      <c r="AB1039" s="8">
        <f>N1039*8.75/100</f>
        <v>9023262.5</v>
      </c>
      <c r="AC1039" s="4">
        <f t="shared" si="329"/>
        <v>9023262.5</v>
      </c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</row>
    <row r="1040" spans="1:61" s="133" customFormat="1" ht="27.6" customHeight="1" x14ac:dyDescent="0.2">
      <c r="A1040" s="163">
        <v>1025</v>
      </c>
      <c r="B1040" s="58" t="s">
        <v>650</v>
      </c>
      <c r="C1040" s="9" t="s">
        <v>572</v>
      </c>
      <c r="D1040" s="71">
        <v>1954000</v>
      </c>
      <c r="E1040" s="9"/>
      <c r="F1040" s="9"/>
      <c r="G1040" s="62"/>
      <c r="H1040" s="54">
        <v>8.75</v>
      </c>
      <c r="I1040" s="34"/>
      <c r="J1040" s="34"/>
      <c r="K1040" s="34"/>
      <c r="L1040" s="34"/>
      <c r="M1040" s="34">
        <v>0</v>
      </c>
      <c r="N1040" s="34">
        <f t="shared" si="334"/>
        <v>1954000</v>
      </c>
      <c r="O1040" s="34"/>
      <c r="P1040" s="34"/>
      <c r="Q1040" s="34"/>
      <c r="R1040" s="34"/>
      <c r="S1040" s="34">
        <f t="shared" si="336"/>
        <v>1954000</v>
      </c>
      <c r="T1040" s="34">
        <v>0</v>
      </c>
      <c r="U1040" s="34">
        <v>0</v>
      </c>
      <c r="V1040" s="34"/>
      <c r="W1040" s="34"/>
      <c r="X1040" s="34"/>
      <c r="Y1040" s="34"/>
      <c r="Z1040" s="34">
        <v>0</v>
      </c>
      <c r="AA1040" s="34">
        <f>AB1040/365*226</f>
        <v>105863.97260273973</v>
      </c>
      <c r="AB1040" s="8">
        <f>N1040*8.75/100</f>
        <v>170975</v>
      </c>
      <c r="AC1040" s="4">
        <f t="shared" si="329"/>
        <v>170975</v>
      </c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</row>
    <row r="1041" spans="1:61" s="133" customFormat="1" ht="27.6" customHeight="1" x14ac:dyDescent="0.2">
      <c r="A1041" s="163">
        <v>1026</v>
      </c>
      <c r="B1041" s="58" t="s">
        <v>650</v>
      </c>
      <c r="C1041" s="9" t="s">
        <v>572</v>
      </c>
      <c r="D1041" s="71">
        <v>5677000</v>
      </c>
      <c r="E1041" s="9"/>
      <c r="F1041" s="9"/>
      <c r="G1041" s="62"/>
      <c r="H1041" s="54">
        <v>8.75</v>
      </c>
      <c r="I1041" s="34"/>
      <c r="J1041" s="34"/>
      <c r="K1041" s="34"/>
      <c r="L1041" s="34"/>
      <c r="M1041" s="34">
        <v>0</v>
      </c>
      <c r="N1041" s="34">
        <f t="shared" si="334"/>
        <v>5677000</v>
      </c>
      <c r="O1041" s="34"/>
      <c r="P1041" s="34"/>
      <c r="Q1041" s="34"/>
      <c r="R1041" s="34"/>
      <c r="S1041" s="34">
        <f t="shared" si="336"/>
        <v>5677000</v>
      </c>
      <c r="T1041" s="34">
        <v>0</v>
      </c>
      <c r="U1041" s="34">
        <v>0</v>
      </c>
      <c r="V1041" s="34"/>
      <c r="W1041" s="34"/>
      <c r="X1041" s="34"/>
      <c r="Y1041" s="34"/>
      <c r="Z1041" s="34">
        <v>0</v>
      </c>
      <c r="AA1041" s="34">
        <f t="shared" ref="AA1041:AA1043" si="338">AB1041/365*226</f>
        <v>307568.9726027397</v>
      </c>
      <c r="AB1041" s="8">
        <f t="shared" ref="AB1041:AB1048" si="339">N1041*8.75/100</f>
        <v>496737.5</v>
      </c>
      <c r="AC1041" s="4">
        <f t="shared" si="329"/>
        <v>496737.49999999994</v>
      </c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</row>
    <row r="1042" spans="1:61" s="133" customFormat="1" ht="27.6" customHeight="1" x14ac:dyDescent="0.2">
      <c r="A1042" s="163">
        <v>1027</v>
      </c>
      <c r="B1042" s="58" t="s">
        <v>650</v>
      </c>
      <c r="C1042" s="9" t="s">
        <v>572</v>
      </c>
      <c r="D1042" s="71">
        <v>10002000</v>
      </c>
      <c r="E1042" s="9"/>
      <c r="F1042" s="9"/>
      <c r="G1042" s="62"/>
      <c r="H1042" s="54">
        <v>8.75</v>
      </c>
      <c r="I1042" s="34"/>
      <c r="J1042" s="34"/>
      <c r="K1042" s="34"/>
      <c r="L1042" s="34"/>
      <c r="M1042" s="34">
        <v>0</v>
      </c>
      <c r="N1042" s="34">
        <f t="shared" si="334"/>
        <v>10002000</v>
      </c>
      <c r="O1042" s="34"/>
      <c r="P1042" s="34"/>
      <c r="Q1042" s="34"/>
      <c r="R1042" s="34"/>
      <c r="S1042" s="34">
        <f t="shared" si="336"/>
        <v>10002000</v>
      </c>
      <c r="T1042" s="34">
        <v>0</v>
      </c>
      <c r="U1042" s="34">
        <v>0</v>
      </c>
      <c r="V1042" s="34"/>
      <c r="W1042" s="34"/>
      <c r="X1042" s="34"/>
      <c r="Y1042" s="34"/>
      <c r="Z1042" s="34">
        <v>0</v>
      </c>
      <c r="AA1042" s="34">
        <f t="shared" si="338"/>
        <v>541889.17808219185</v>
      </c>
      <c r="AB1042" s="8">
        <f t="shared" si="339"/>
        <v>875175</v>
      </c>
      <c r="AC1042" s="4">
        <f t="shared" si="329"/>
        <v>875175</v>
      </c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</row>
    <row r="1043" spans="1:61" s="133" customFormat="1" ht="27.6" customHeight="1" x14ac:dyDescent="0.2">
      <c r="A1043" s="163">
        <v>1028</v>
      </c>
      <c r="B1043" s="58" t="s">
        <v>650</v>
      </c>
      <c r="C1043" s="9" t="s">
        <v>572</v>
      </c>
      <c r="D1043" s="71">
        <v>29075000</v>
      </c>
      <c r="E1043" s="9"/>
      <c r="F1043" s="9"/>
      <c r="G1043" s="62"/>
      <c r="H1043" s="54">
        <v>8.75</v>
      </c>
      <c r="I1043" s="34"/>
      <c r="J1043" s="34"/>
      <c r="K1043" s="34"/>
      <c r="L1043" s="34"/>
      <c r="M1043" s="34">
        <v>0</v>
      </c>
      <c r="N1043" s="34">
        <f t="shared" si="334"/>
        <v>29075000</v>
      </c>
      <c r="O1043" s="34"/>
      <c r="P1043" s="34"/>
      <c r="Q1043" s="34"/>
      <c r="R1043" s="34"/>
      <c r="S1043" s="34">
        <f t="shared" si="336"/>
        <v>29075000</v>
      </c>
      <c r="T1043" s="34">
        <v>0</v>
      </c>
      <c r="U1043" s="34">
        <v>0</v>
      </c>
      <c r="V1043" s="34"/>
      <c r="W1043" s="34"/>
      <c r="X1043" s="34"/>
      <c r="Y1043" s="34"/>
      <c r="Z1043" s="34">
        <v>0</v>
      </c>
      <c r="AA1043" s="34">
        <f t="shared" si="338"/>
        <v>1575227.7397260275</v>
      </c>
      <c r="AB1043" s="8">
        <f t="shared" si="339"/>
        <v>2544062.5</v>
      </c>
      <c r="AC1043" s="4">
        <f t="shared" si="329"/>
        <v>2544062.5</v>
      </c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</row>
    <row r="1044" spans="1:61" s="133" customFormat="1" ht="27.6" customHeight="1" x14ac:dyDescent="0.2">
      <c r="A1044" s="163">
        <v>1029</v>
      </c>
      <c r="B1044" s="58" t="s">
        <v>656</v>
      </c>
      <c r="C1044" s="9" t="s">
        <v>572</v>
      </c>
      <c r="D1044" s="71">
        <v>25972000</v>
      </c>
      <c r="E1044" s="9"/>
      <c r="F1044" s="9"/>
      <c r="G1044" s="62"/>
      <c r="H1044" s="54">
        <v>8.75</v>
      </c>
      <c r="I1044" s="34"/>
      <c r="J1044" s="34"/>
      <c r="K1044" s="34"/>
      <c r="L1044" s="34"/>
      <c r="M1044" s="34">
        <v>0</v>
      </c>
      <c r="N1044" s="34">
        <f t="shared" si="334"/>
        <v>25972000</v>
      </c>
      <c r="O1044" s="34"/>
      <c r="P1044" s="34"/>
      <c r="Q1044" s="34"/>
      <c r="R1044" s="34"/>
      <c r="S1044" s="34">
        <f t="shared" si="336"/>
        <v>25972000</v>
      </c>
      <c r="T1044" s="34">
        <v>0</v>
      </c>
      <c r="U1044" s="34">
        <v>0</v>
      </c>
      <c r="V1044" s="34"/>
      <c r="W1044" s="34"/>
      <c r="X1044" s="34"/>
      <c r="Y1044" s="34"/>
      <c r="Z1044" s="34">
        <v>0</v>
      </c>
      <c r="AA1044" s="34">
        <f>AB1044/365*201</f>
        <v>1251459.0410958906</v>
      </c>
      <c r="AB1044" s="8">
        <f t="shared" si="339"/>
        <v>2272550</v>
      </c>
      <c r="AC1044" s="4">
        <f t="shared" si="329"/>
        <v>2272550</v>
      </c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</row>
    <row r="1045" spans="1:61" s="133" customFormat="1" ht="27.6" customHeight="1" x14ac:dyDescent="0.2">
      <c r="A1045" s="163">
        <v>1030</v>
      </c>
      <c r="B1045" s="58" t="s">
        <v>656</v>
      </c>
      <c r="C1045" s="9" t="s">
        <v>572</v>
      </c>
      <c r="D1045" s="71">
        <v>6728000</v>
      </c>
      <c r="E1045" s="9"/>
      <c r="F1045" s="9"/>
      <c r="G1045" s="62"/>
      <c r="H1045" s="54">
        <v>8.75</v>
      </c>
      <c r="I1045" s="34"/>
      <c r="J1045" s="34"/>
      <c r="K1045" s="34"/>
      <c r="L1045" s="34"/>
      <c r="M1045" s="34">
        <v>0</v>
      </c>
      <c r="N1045" s="34">
        <f t="shared" si="334"/>
        <v>6728000</v>
      </c>
      <c r="O1045" s="34"/>
      <c r="P1045" s="34"/>
      <c r="Q1045" s="34"/>
      <c r="R1045" s="34"/>
      <c r="S1045" s="34">
        <f t="shared" si="336"/>
        <v>6728000</v>
      </c>
      <c r="T1045" s="34">
        <v>0</v>
      </c>
      <c r="U1045" s="34">
        <v>0</v>
      </c>
      <c r="V1045" s="34"/>
      <c r="W1045" s="34"/>
      <c r="X1045" s="34"/>
      <c r="Y1045" s="34"/>
      <c r="Z1045" s="34">
        <v>0</v>
      </c>
      <c r="AA1045" s="34">
        <f t="shared" ref="AA1045:AA1048" si="340">AB1045/365*201</f>
        <v>324188.21917808219</v>
      </c>
      <c r="AB1045" s="8">
        <f t="shared" si="339"/>
        <v>588700</v>
      </c>
      <c r="AC1045" s="4">
        <f t="shared" si="329"/>
        <v>588700</v>
      </c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</row>
    <row r="1046" spans="1:61" s="133" customFormat="1" ht="27.6" customHeight="1" x14ac:dyDescent="0.2">
      <c r="A1046" s="163">
        <v>1031</v>
      </c>
      <c r="B1046" s="58" t="s">
        <v>656</v>
      </c>
      <c r="C1046" s="9" t="s">
        <v>572</v>
      </c>
      <c r="D1046" s="71">
        <v>15859000</v>
      </c>
      <c r="E1046" s="9"/>
      <c r="F1046" s="9"/>
      <c r="G1046" s="62"/>
      <c r="H1046" s="54">
        <v>8.75</v>
      </c>
      <c r="I1046" s="34"/>
      <c r="J1046" s="34"/>
      <c r="K1046" s="34"/>
      <c r="L1046" s="34"/>
      <c r="M1046" s="34">
        <v>0</v>
      </c>
      <c r="N1046" s="34">
        <f t="shared" si="334"/>
        <v>15859000</v>
      </c>
      <c r="O1046" s="34"/>
      <c r="P1046" s="34"/>
      <c r="Q1046" s="34"/>
      <c r="R1046" s="34"/>
      <c r="S1046" s="34">
        <f t="shared" si="336"/>
        <v>15859000</v>
      </c>
      <c r="T1046" s="34">
        <v>0</v>
      </c>
      <c r="U1046" s="34">
        <v>0</v>
      </c>
      <c r="V1046" s="34"/>
      <c r="W1046" s="34"/>
      <c r="X1046" s="34"/>
      <c r="Y1046" s="34"/>
      <c r="Z1046" s="34">
        <v>0</v>
      </c>
      <c r="AA1046" s="34">
        <f t="shared" si="340"/>
        <v>764164.82876712328</v>
      </c>
      <c r="AB1046" s="8">
        <f t="shared" si="339"/>
        <v>1387662.5</v>
      </c>
      <c r="AC1046" s="4">
        <f t="shared" si="329"/>
        <v>1387662.5</v>
      </c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</row>
    <row r="1047" spans="1:61" s="133" customFormat="1" ht="27.6" customHeight="1" x14ac:dyDescent="0.2">
      <c r="A1047" s="163">
        <v>1032</v>
      </c>
      <c r="B1047" s="58" t="s">
        <v>656</v>
      </c>
      <c r="C1047" s="9" t="s">
        <v>572</v>
      </c>
      <c r="D1047" s="71">
        <v>58787000</v>
      </c>
      <c r="E1047" s="9"/>
      <c r="F1047" s="9"/>
      <c r="G1047" s="62"/>
      <c r="H1047" s="54">
        <v>8.75</v>
      </c>
      <c r="I1047" s="34"/>
      <c r="J1047" s="34"/>
      <c r="K1047" s="34"/>
      <c r="L1047" s="34"/>
      <c r="M1047" s="34">
        <v>0</v>
      </c>
      <c r="N1047" s="34">
        <f t="shared" si="334"/>
        <v>58787000</v>
      </c>
      <c r="O1047" s="34"/>
      <c r="P1047" s="34"/>
      <c r="Q1047" s="34"/>
      <c r="R1047" s="34"/>
      <c r="S1047" s="34">
        <f t="shared" si="336"/>
        <v>58787000</v>
      </c>
      <c r="T1047" s="34">
        <v>0</v>
      </c>
      <c r="U1047" s="34">
        <v>0</v>
      </c>
      <c r="V1047" s="34"/>
      <c r="W1047" s="34"/>
      <c r="X1047" s="34"/>
      <c r="Y1047" s="34"/>
      <c r="Z1047" s="34">
        <v>0</v>
      </c>
      <c r="AA1047" s="34">
        <f t="shared" si="340"/>
        <v>2832647.5684931506</v>
      </c>
      <c r="AB1047" s="8">
        <f t="shared" si="339"/>
        <v>5143862.5</v>
      </c>
      <c r="AC1047" s="4">
        <f t="shared" si="329"/>
        <v>5143862.5</v>
      </c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</row>
    <row r="1048" spans="1:61" s="133" customFormat="1" ht="27.6" customHeight="1" x14ac:dyDescent="0.2">
      <c r="A1048" s="163">
        <v>1033</v>
      </c>
      <c r="B1048" s="58" t="s">
        <v>656</v>
      </c>
      <c r="C1048" s="9" t="s">
        <v>572</v>
      </c>
      <c r="D1048" s="71">
        <v>10961000</v>
      </c>
      <c r="E1048" s="9"/>
      <c r="F1048" s="9"/>
      <c r="G1048" s="62"/>
      <c r="H1048" s="54">
        <v>8.75</v>
      </c>
      <c r="I1048" s="34"/>
      <c r="J1048" s="34"/>
      <c r="K1048" s="34"/>
      <c r="L1048" s="34"/>
      <c r="M1048" s="34">
        <v>0</v>
      </c>
      <c r="N1048" s="34">
        <f t="shared" si="334"/>
        <v>10961000</v>
      </c>
      <c r="O1048" s="34"/>
      <c r="P1048" s="34"/>
      <c r="Q1048" s="34"/>
      <c r="R1048" s="34"/>
      <c r="S1048" s="34">
        <f t="shared" si="336"/>
        <v>10961000</v>
      </c>
      <c r="T1048" s="34">
        <v>0</v>
      </c>
      <c r="U1048" s="34">
        <v>0</v>
      </c>
      <c r="V1048" s="34"/>
      <c r="W1048" s="34"/>
      <c r="X1048" s="34"/>
      <c r="Y1048" s="34"/>
      <c r="Z1048" s="34">
        <v>0</v>
      </c>
      <c r="AA1048" s="34">
        <f t="shared" si="340"/>
        <v>528155.03424657532</v>
      </c>
      <c r="AB1048" s="8">
        <f t="shared" si="339"/>
        <v>959087.5</v>
      </c>
      <c r="AC1048" s="4">
        <f t="shared" si="329"/>
        <v>959087.49999999988</v>
      </c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</row>
    <row r="1049" spans="1:61" s="133" customFormat="1" ht="27.6" customHeight="1" x14ac:dyDescent="0.2">
      <c r="A1049" s="163">
        <v>1034</v>
      </c>
      <c r="B1049" s="58" t="s">
        <v>615</v>
      </c>
      <c r="C1049" s="9" t="s">
        <v>572</v>
      </c>
      <c r="D1049" s="71">
        <v>40445000</v>
      </c>
      <c r="E1049" s="9"/>
      <c r="F1049" s="9"/>
      <c r="G1049" s="62"/>
      <c r="H1049" s="54">
        <v>7.5</v>
      </c>
      <c r="I1049" s="34"/>
      <c r="J1049" s="34"/>
      <c r="K1049" s="34"/>
      <c r="L1049" s="34"/>
      <c r="M1049" s="34">
        <v>0</v>
      </c>
      <c r="N1049" s="34">
        <f t="shared" si="334"/>
        <v>40445000</v>
      </c>
      <c r="O1049" s="34"/>
      <c r="P1049" s="34"/>
      <c r="Q1049" s="34"/>
      <c r="R1049" s="34"/>
      <c r="S1049" s="34">
        <f t="shared" si="336"/>
        <v>40445000</v>
      </c>
      <c r="T1049" s="34">
        <v>0</v>
      </c>
      <c r="U1049" s="34">
        <v>0</v>
      </c>
      <c r="V1049" s="34"/>
      <c r="W1049" s="34"/>
      <c r="X1049" s="34"/>
      <c r="Y1049" s="34"/>
      <c r="Z1049" s="34">
        <v>0</v>
      </c>
      <c r="AA1049" s="34">
        <f>AB1049/365*161</f>
        <v>1338009.2465753425</v>
      </c>
      <c r="AB1049" s="8">
        <f>N1049*7.5/100</f>
        <v>3033375</v>
      </c>
      <c r="AC1049" s="4">
        <f t="shared" si="329"/>
        <v>3033375</v>
      </c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</row>
    <row r="1050" spans="1:61" s="133" customFormat="1" ht="27.6" customHeight="1" x14ac:dyDescent="0.2">
      <c r="A1050" s="163">
        <v>1035</v>
      </c>
      <c r="B1050" s="58" t="s">
        <v>615</v>
      </c>
      <c r="C1050" s="9" t="s">
        <v>572</v>
      </c>
      <c r="D1050" s="71">
        <v>12037000</v>
      </c>
      <c r="E1050" s="9"/>
      <c r="F1050" s="9"/>
      <c r="G1050" s="62"/>
      <c r="H1050" s="54">
        <v>7.5</v>
      </c>
      <c r="I1050" s="34"/>
      <c r="J1050" s="34"/>
      <c r="K1050" s="34"/>
      <c r="L1050" s="34"/>
      <c r="M1050" s="34">
        <v>0</v>
      </c>
      <c r="N1050" s="34">
        <f t="shared" si="334"/>
        <v>12037000</v>
      </c>
      <c r="O1050" s="34"/>
      <c r="P1050" s="34"/>
      <c r="Q1050" s="34"/>
      <c r="R1050" s="34"/>
      <c r="S1050" s="34">
        <f t="shared" si="336"/>
        <v>12037000</v>
      </c>
      <c r="T1050" s="34">
        <v>0</v>
      </c>
      <c r="U1050" s="34">
        <v>0</v>
      </c>
      <c r="V1050" s="34"/>
      <c r="W1050" s="34"/>
      <c r="X1050" s="34"/>
      <c r="Y1050" s="34"/>
      <c r="Z1050" s="34">
        <v>0</v>
      </c>
      <c r="AA1050" s="34">
        <f t="shared" ref="AA1050:AA1053" si="341">AB1050/365*161</f>
        <v>398210.34246575338</v>
      </c>
      <c r="AB1050" s="8">
        <f t="shared" ref="AB1050:AB1053" si="342">N1050*7.5/100</f>
        <v>902775</v>
      </c>
      <c r="AC1050" s="4">
        <f t="shared" si="329"/>
        <v>902775</v>
      </c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</row>
    <row r="1051" spans="1:61" s="133" customFormat="1" ht="27.6" customHeight="1" x14ac:dyDescent="0.2">
      <c r="A1051" s="163">
        <v>1036</v>
      </c>
      <c r="B1051" s="58" t="s">
        <v>615</v>
      </c>
      <c r="C1051" s="9" t="s">
        <v>572</v>
      </c>
      <c r="D1051" s="71">
        <v>34543000</v>
      </c>
      <c r="E1051" s="9"/>
      <c r="F1051" s="9"/>
      <c r="G1051" s="62"/>
      <c r="H1051" s="54">
        <v>7.5</v>
      </c>
      <c r="I1051" s="34"/>
      <c r="J1051" s="34"/>
      <c r="K1051" s="34"/>
      <c r="L1051" s="34"/>
      <c r="M1051" s="34">
        <v>0</v>
      </c>
      <c r="N1051" s="34">
        <f t="shared" si="334"/>
        <v>34543000</v>
      </c>
      <c r="O1051" s="34"/>
      <c r="P1051" s="34"/>
      <c r="Q1051" s="34"/>
      <c r="R1051" s="34"/>
      <c r="S1051" s="34">
        <f t="shared" si="336"/>
        <v>34543000</v>
      </c>
      <c r="T1051" s="34">
        <v>0</v>
      </c>
      <c r="U1051" s="34">
        <v>0</v>
      </c>
      <c r="V1051" s="34"/>
      <c r="W1051" s="34"/>
      <c r="X1051" s="34"/>
      <c r="Y1051" s="34"/>
      <c r="Z1051" s="34">
        <v>0</v>
      </c>
      <c r="AA1051" s="34">
        <f t="shared" si="341"/>
        <v>1142758.1506849315</v>
      </c>
      <c r="AB1051" s="8">
        <f t="shared" si="342"/>
        <v>2590725</v>
      </c>
      <c r="AC1051" s="4">
        <f t="shared" si="329"/>
        <v>2590725</v>
      </c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</row>
    <row r="1052" spans="1:61" s="133" customFormat="1" ht="27.6" customHeight="1" x14ac:dyDescent="0.2">
      <c r="A1052" s="163">
        <v>1037</v>
      </c>
      <c r="B1052" s="58" t="s">
        <v>615</v>
      </c>
      <c r="C1052" s="9" t="s">
        <v>572</v>
      </c>
      <c r="D1052" s="71">
        <v>2872000</v>
      </c>
      <c r="E1052" s="9"/>
      <c r="F1052" s="9"/>
      <c r="G1052" s="62"/>
      <c r="H1052" s="54">
        <v>7.5</v>
      </c>
      <c r="I1052" s="34"/>
      <c r="J1052" s="34"/>
      <c r="K1052" s="34"/>
      <c r="L1052" s="34"/>
      <c r="M1052" s="34">
        <v>0</v>
      </c>
      <c r="N1052" s="34">
        <f t="shared" si="334"/>
        <v>2872000</v>
      </c>
      <c r="O1052" s="34"/>
      <c r="P1052" s="34"/>
      <c r="Q1052" s="34"/>
      <c r="R1052" s="34"/>
      <c r="S1052" s="34">
        <f t="shared" si="336"/>
        <v>2872000</v>
      </c>
      <c r="T1052" s="34">
        <v>0</v>
      </c>
      <c r="U1052" s="34">
        <v>0</v>
      </c>
      <c r="V1052" s="34"/>
      <c r="W1052" s="34"/>
      <c r="X1052" s="34"/>
      <c r="Y1052" s="34"/>
      <c r="Z1052" s="34">
        <v>0</v>
      </c>
      <c r="AA1052" s="34">
        <f t="shared" si="341"/>
        <v>95012.054794520562</v>
      </c>
      <c r="AB1052" s="8">
        <f t="shared" si="342"/>
        <v>215400</v>
      </c>
      <c r="AC1052" s="4">
        <f t="shared" si="329"/>
        <v>215400</v>
      </c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</row>
    <row r="1053" spans="1:61" s="133" customFormat="1" ht="27.6" customHeight="1" x14ac:dyDescent="0.2">
      <c r="A1053" s="163">
        <v>1038</v>
      </c>
      <c r="B1053" s="58" t="s">
        <v>615</v>
      </c>
      <c r="C1053" s="9" t="s">
        <v>572</v>
      </c>
      <c r="D1053" s="71">
        <v>17874000</v>
      </c>
      <c r="E1053" s="9"/>
      <c r="F1053" s="9"/>
      <c r="G1053" s="62"/>
      <c r="H1053" s="54">
        <v>7.5</v>
      </c>
      <c r="I1053" s="34"/>
      <c r="J1053" s="34"/>
      <c r="K1053" s="34"/>
      <c r="L1053" s="34"/>
      <c r="M1053" s="34">
        <v>0</v>
      </c>
      <c r="N1053" s="34">
        <f t="shared" si="334"/>
        <v>17874000</v>
      </c>
      <c r="O1053" s="34"/>
      <c r="P1053" s="34"/>
      <c r="Q1053" s="34"/>
      <c r="R1053" s="34"/>
      <c r="S1053" s="34">
        <f t="shared" si="336"/>
        <v>17874000</v>
      </c>
      <c r="T1053" s="34">
        <v>0</v>
      </c>
      <c r="U1053" s="34">
        <v>0</v>
      </c>
      <c r="V1053" s="34"/>
      <c r="W1053" s="34"/>
      <c r="X1053" s="34"/>
      <c r="Y1053" s="34"/>
      <c r="Z1053" s="34">
        <v>0</v>
      </c>
      <c r="AA1053" s="34">
        <f t="shared" si="341"/>
        <v>591311.09589041094</v>
      </c>
      <c r="AB1053" s="8">
        <f t="shared" si="342"/>
        <v>1340550</v>
      </c>
      <c r="AC1053" s="4">
        <f t="shared" si="329"/>
        <v>1340550</v>
      </c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</row>
    <row r="1054" spans="1:61" s="133" customFormat="1" ht="27.6" customHeight="1" x14ac:dyDescent="0.2">
      <c r="A1054" s="163">
        <v>1039</v>
      </c>
      <c r="B1054" s="58" t="s">
        <v>662</v>
      </c>
      <c r="C1054" s="9" t="s">
        <v>572</v>
      </c>
      <c r="D1054" s="71">
        <v>108888000</v>
      </c>
      <c r="E1054" s="9"/>
      <c r="F1054" s="9"/>
      <c r="G1054" s="62"/>
      <c r="H1054" s="54">
        <v>7.5</v>
      </c>
      <c r="I1054" s="34"/>
      <c r="J1054" s="34"/>
      <c r="K1054" s="34"/>
      <c r="L1054" s="34"/>
      <c r="M1054" s="34">
        <v>0</v>
      </c>
      <c r="N1054" s="34">
        <f t="shared" si="334"/>
        <v>108888000</v>
      </c>
      <c r="O1054" s="34"/>
      <c r="P1054" s="34"/>
      <c r="Q1054" s="34"/>
      <c r="R1054" s="34"/>
      <c r="S1054" s="34">
        <f t="shared" si="336"/>
        <v>108888000</v>
      </c>
      <c r="T1054" s="34">
        <v>0</v>
      </c>
      <c r="U1054" s="34">
        <v>0</v>
      </c>
      <c r="V1054" s="34"/>
      <c r="W1054" s="34"/>
      <c r="X1054" s="34"/>
      <c r="Y1054" s="34"/>
      <c r="Z1054" s="34">
        <v>0</v>
      </c>
      <c r="AA1054" s="34">
        <f>AB1054/365*154</f>
        <v>3445633.9726027399</v>
      </c>
      <c r="AB1054" s="8">
        <f>N1054*7.5/100</f>
        <v>8166600</v>
      </c>
      <c r="AC1054" s="4">
        <f t="shared" si="329"/>
        <v>8166600</v>
      </c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  <c r="BD1054" s="2"/>
      <c r="BE1054" s="2"/>
      <c r="BF1054" s="2"/>
      <c r="BG1054" s="2"/>
      <c r="BH1054" s="2"/>
      <c r="BI1054" s="2"/>
    </row>
    <row r="1055" spans="1:61" s="133" customFormat="1" ht="27.6" customHeight="1" x14ac:dyDescent="0.2">
      <c r="A1055" s="163">
        <v>1040</v>
      </c>
      <c r="B1055" s="58" t="s">
        <v>663</v>
      </c>
      <c r="C1055" s="9" t="s">
        <v>572</v>
      </c>
      <c r="D1055" s="71">
        <v>134477000</v>
      </c>
      <c r="E1055" s="9"/>
      <c r="F1055" s="9"/>
      <c r="G1055" s="62"/>
      <c r="H1055" s="54">
        <v>7.25</v>
      </c>
      <c r="I1055" s="34"/>
      <c r="J1055" s="34"/>
      <c r="K1055" s="34"/>
      <c r="L1055" s="34"/>
      <c r="M1055" s="34">
        <v>0</v>
      </c>
      <c r="N1055" s="34">
        <f t="shared" si="334"/>
        <v>134477000</v>
      </c>
      <c r="O1055" s="34"/>
      <c r="P1055" s="34"/>
      <c r="Q1055" s="34"/>
      <c r="R1055" s="34"/>
      <c r="S1055" s="34">
        <f t="shared" si="336"/>
        <v>134477000</v>
      </c>
      <c r="T1055" s="34">
        <v>0</v>
      </c>
      <c r="U1055" s="34">
        <v>0</v>
      </c>
      <c r="V1055" s="34"/>
      <c r="W1055" s="34"/>
      <c r="X1055" s="34"/>
      <c r="Y1055" s="34"/>
      <c r="Z1055" s="34">
        <v>0</v>
      </c>
      <c r="AA1055" s="34">
        <f>AB1055/365*153</f>
        <v>4086811.2945205481</v>
      </c>
      <c r="AB1055" s="8">
        <f>N1055*7.25/100</f>
        <v>9749582.5</v>
      </c>
      <c r="AC1055" s="4">
        <f t="shared" si="329"/>
        <v>9749582.5</v>
      </c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</row>
    <row r="1056" spans="1:61" s="133" customFormat="1" ht="27.6" customHeight="1" x14ac:dyDescent="0.2">
      <c r="A1056" s="163">
        <v>1041</v>
      </c>
      <c r="B1056" s="58" t="s">
        <v>664</v>
      </c>
      <c r="C1056" s="9" t="s">
        <v>572</v>
      </c>
      <c r="D1056" s="71">
        <v>3265000</v>
      </c>
      <c r="E1056" s="9"/>
      <c r="F1056" s="9"/>
      <c r="G1056" s="62"/>
      <c r="H1056" s="54">
        <v>7.25</v>
      </c>
      <c r="I1056" s="34"/>
      <c r="J1056" s="34"/>
      <c r="K1056" s="34"/>
      <c r="L1056" s="34"/>
      <c r="M1056" s="34">
        <v>0</v>
      </c>
      <c r="N1056" s="34">
        <f t="shared" si="334"/>
        <v>3265000</v>
      </c>
      <c r="O1056" s="34"/>
      <c r="P1056" s="34"/>
      <c r="Q1056" s="34"/>
      <c r="R1056" s="34"/>
      <c r="S1056" s="34">
        <f t="shared" si="336"/>
        <v>3265000</v>
      </c>
      <c r="T1056" s="34">
        <v>0</v>
      </c>
      <c r="U1056" s="34">
        <v>0</v>
      </c>
      <c r="V1056" s="34"/>
      <c r="W1056" s="34"/>
      <c r="X1056" s="34"/>
      <c r="Y1056" s="34"/>
      <c r="Z1056" s="34">
        <v>0</v>
      </c>
      <c r="AA1056" s="34">
        <f>AB1056/365*148</f>
        <v>95982.054794520562</v>
      </c>
      <c r="AB1056" s="8">
        <f>N1056*7.25/100</f>
        <v>236712.5</v>
      </c>
      <c r="AC1056" s="4">
        <f t="shared" si="329"/>
        <v>236712.49999999997</v>
      </c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</row>
    <row r="1057" spans="1:61" s="133" customFormat="1" ht="27.6" customHeight="1" x14ac:dyDescent="0.2">
      <c r="A1057" s="163">
        <v>1042</v>
      </c>
      <c r="B1057" s="58" t="s">
        <v>664</v>
      </c>
      <c r="C1057" s="9" t="s">
        <v>572</v>
      </c>
      <c r="D1057" s="71">
        <v>7348000</v>
      </c>
      <c r="E1057" s="9"/>
      <c r="F1057" s="9"/>
      <c r="G1057" s="62"/>
      <c r="H1057" s="54">
        <v>7.25</v>
      </c>
      <c r="I1057" s="34"/>
      <c r="J1057" s="34"/>
      <c r="K1057" s="34"/>
      <c r="L1057" s="34"/>
      <c r="M1057" s="34">
        <v>0</v>
      </c>
      <c r="N1057" s="34">
        <f t="shared" si="334"/>
        <v>7348000</v>
      </c>
      <c r="O1057" s="34"/>
      <c r="P1057" s="34"/>
      <c r="Q1057" s="34"/>
      <c r="R1057" s="34"/>
      <c r="S1057" s="34">
        <f t="shared" si="336"/>
        <v>7348000</v>
      </c>
      <c r="T1057" s="34">
        <v>0</v>
      </c>
      <c r="U1057" s="34">
        <v>0</v>
      </c>
      <c r="V1057" s="34"/>
      <c r="W1057" s="34"/>
      <c r="X1057" s="34"/>
      <c r="Y1057" s="34"/>
      <c r="Z1057" s="34">
        <v>0</v>
      </c>
      <c r="AA1057" s="34">
        <f t="shared" ref="AA1057:AA1059" si="343">AB1057/365*148</f>
        <v>216011.06849315067</v>
      </c>
      <c r="AB1057" s="8">
        <f t="shared" ref="AB1057:AB1074" si="344">N1057*7.25/100</f>
        <v>532730</v>
      </c>
      <c r="AC1057" s="4">
        <f t="shared" si="329"/>
        <v>532730</v>
      </c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</row>
    <row r="1058" spans="1:61" s="133" customFormat="1" ht="27.6" customHeight="1" x14ac:dyDescent="0.2">
      <c r="A1058" s="163">
        <v>1043</v>
      </c>
      <c r="B1058" s="58" t="s">
        <v>664</v>
      </c>
      <c r="C1058" s="9" t="s">
        <v>572</v>
      </c>
      <c r="D1058" s="71">
        <v>4348000</v>
      </c>
      <c r="E1058" s="9"/>
      <c r="F1058" s="9"/>
      <c r="G1058" s="62"/>
      <c r="H1058" s="54">
        <v>7.25</v>
      </c>
      <c r="I1058" s="34"/>
      <c r="J1058" s="34"/>
      <c r="K1058" s="34"/>
      <c r="L1058" s="34"/>
      <c r="M1058" s="34">
        <v>0</v>
      </c>
      <c r="N1058" s="34">
        <f t="shared" si="334"/>
        <v>4348000</v>
      </c>
      <c r="O1058" s="34"/>
      <c r="P1058" s="34"/>
      <c r="Q1058" s="34"/>
      <c r="R1058" s="34"/>
      <c r="S1058" s="34">
        <f t="shared" si="336"/>
        <v>4348000</v>
      </c>
      <c r="T1058" s="34">
        <v>0</v>
      </c>
      <c r="U1058" s="34">
        <v>0</v>
      </c>
      <c r="V1058" s="34"/>
      <c r="W1058" s="34"/>
      <c r="X1058" s="34"/>
      <c r="Y1058" s="34"/>
      <c r="Z1058" s="34">
        <v>0</v>
      </c>
      <c r="AA1058" s="34">
        <f t="shared" si="343"/>
        <v>127819.28767123287</v>
      </c>
      <c r="AB1058" s="8">
        <f t="shared" si="344"/>
        <v>315230</v>
      </c>
      <c r="AC1058" s="4">
        <f t="shared" si="329"/>
        <v>315230</v>
      </c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  <c r="BD1058" s="2"/>
      <c r="BE1058" s="2"/>
      <c r="BF1058" s="2"/>
      <c r="BG1058" s="2"/>
      <c r="BH1058" s="2"/>
      <c r="BI1058" s="2"/>
    </row>
    <row r="1059" spans="1:61" s="133" customFormat="1" ht="27.6" customHeight="1" x14ac:dyDescent="0.2">
      <c r="A1059" s="163">
        <v>1044</v>
      </c>
      <c r="B1059" s="58" t="s">
        <v>664</v>
      </c>
      <c r="C1059" s="9" t="s">
        <v>572</v>
      </c>
      <c r="D1059" s="71">
        <v>15538000</v>
      </c>
      <c r="E1059" s="9"/>
      <c r="F1059" s="9"/>
      <c r="G1059" s="62"/>
      <c r="H1059" s="54">
        <v>7.25</v>
      </c>
      <c r="I1059" s="34"/>
      <c r="J1059" s="34"/>
      <c r="K1059" s="34"/>
      <c r="L1059" s="34"/>
      <c r="M1059" s="34">
        <v>0</v>
      </c>
      <c r="N1059" s="34">
        <f t="shared" si="334"/>
        <v>15538000</v>
      </c>
      <c r="O1059" s="34"/>
      <c r="P1059" s="34"/>
      <c r="Q1059" s="34"/>
      <c r="R1059" s="34"/>
      <c r="S1059" s="34">
        <f t="shared" si="336"/>
        <v>15538000</v>
      </c>
      <c r="T1059" s="34">
        <v>0</v>
      </c>
      <c r="U1059" s="34">
        <v>0</v>
      </c>
      <c r="V1059" s="34"/>
      <c r="W1059" s="34"/>
      <c r="X1059" s="34"/>
      <c r="Y1059" s="34"/>
      <c r="Z1059" s="34">
        <v>0</v>
      </c>
      <c r="AA1059" s="34">
        <f t="shared" si="343"/>
        <v>456774.63013698632</v>
      </c>
      <c r="AB1059" s="8">
        <f t="shared" si="344"/>
        <v>1126505</v>
      </c>
      <c r="AC1059" s="4">
        <f t="shared" si="329"/>
        <v>1126505</v>
      </c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  <c r="BD1059" s="2"/>
      <c r="BE1059" s="2"/>
      <c r="BF1059" s="2"/>
      <c r="BG1059" s="2"/>
      <c r="BH1059" s="2"/>
      <c r="BI1059" s="2"/>
    </row>
    <row r="1060" spans="1:61" s="133" customFormat="1" ht="27.6" customHeight="1" x14ac:dyDescent="0.2">
      <c r="A1060" s="163">
        <v>1045</v>
      </c>
      <c r="B1060" s="58" t="s">
        <v>666</v>
      </c>
      <c r="C1060" s="9" t="s">
        <v>572</v>
      </c>
      <c r="D1060" s="71">
        <v>50139000</v>
      </c>
      <c r="E1060" s="9"/>
      <c r="F1060" s="9"/>
      <c r="G1060" s="62"/>
      <c r="H1060" s="54">
        <v>7.25</v>
      </c>
      <c r="I1060" s="34"/>
      <c r="J1060" s="34"/>
      <c r="K1060" s="34"/>
      <c r="L1060" s="34"/>
      <c r="M1060" s="34">
        <v>0</v>
      </c>
      <c r="N1060" s="34">
        <f t="shared" si="334"/>
        <v>50139000</v>
      </c>
      <c r="O1060" s="34"/>
      <c r="P1060" s="34"/>
      <c r="Q1060" s="34"/>
      <c r="R1060" s="34"/>
      <c r="S1060" s="34">
        <f t="shared" si="336"/>
        <v>50139000</v>
      </c>
      <c r="T1060" s="34">
        <v>0</v>
      </c>
      <c r="U1060" s="34">
        <v>0</v>
      </c>
      <c r="V1060" s="34"/>
      <c r="W1060" s="34"/>
      <c r="X1060" s="34"/>
      <c r="Y1060" s="34"/>
      <c r="Z1060" s="34">
        <v>0</v>
      </c>
      <c r="AA1060" s="34">
        <f>AB1060/365*122</f>
        <v>1215012.2054794522</v>
      </c>
      <c r="AB1060" s="8">
        <f t="shared" si="344"/>
        <v>3635077.5</v>
      </c>
      <c r="AC1060" s="4">
        <f t="shared" si="329"/>
        <v>3635077.4999999995</v>
      </c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</row>
    <row r="1061" spans="1:61" s="133" customFormat="1" ht="27.6" customHeight="1" x14ac:dyDescent="0.2">
      <c r="A1061" s="163">
        <v>1046</v>
      </c>
      <c r="B1061" s="58" t="s">
        <v>666</v>
      </c>
      <c r="C1061" s="9" t="s">
        <v>572</v>
      </c>
      <c r="D1061" s="71">
        <v>104105000</v>
      </c>
      <c r="E1061" s="9"/>
      <c r="F1061" s="9"/>
      <c r="G1061" s="62"/>
      <c r="H1061" s="54">
        <v>7.25</v>
      </c>
      <c r="I1061" s="34"/>
      <c r="J1061" s="34"/>
      <c r="K1061" s="34"/>
      <c r="L1061" s="34"/>
      <c r="M1061" s="34">
        <v>0</v>
      </c>
      <c r="N1061" s="34">
        <f t="shared" si="334"/>
        <v>104105000</v>
      </c>
      <c r="O1061" s="34"/>
      <c r="P1061" s="34"/>
      <c r="Q1061" s="34"/>
      <c r="R1061" s="34"/>
      <c r="S1061" s="34">
        <f t="shared" si="336"/>
        <v>104105000</v>
      </c>
      <c r="T1061" s="34">
        <v>0</v>
      </c>
      <c r="U1061" s="34">
        <v>0</v>
      </c>
      <c r="V1061" s="34"/>
      <c r="W1061" s="34"/>
      <c r="X1061" s="34"/>
      <c r="Y1061" s="34"/>
      <c r="Z1061" s="34">
        <v>0</v>
      </c>
      <c r="AA1061" s="34">
        <f t="shared" ref="AA1061:AA1065" si="345">AB1061/365*122</f>
        <v>2522763.6301369863</v>
      </c>
      <c r="AB1061" s="8">
        <f t="shared" si="344"/>
        <v>7547612.5</v>
      </c>
      <c r="AC1061" s="4">
        <f t="shared" si="329"/>
        <v>7547612.4999999991</v>
      </c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  <c r="AV1061" s="2"/>
      <c r="AW1061" s="2"/>
      <c r="AX1061" s="2"/>
      <c r="AY1061" s="2"/>
      <c r="AZ1061" s="2"/>
      <c r="BA1061" s="2"/>
      <c r="BB1061" s="2"/>
      <c r="BC1061" s="2"/>
      <c r="BD1061" s="2"/>
      <c r="BE1061" s="2"/>
      <c r="BF1061" s="2"/>
      <c r="BG1061" s="2"/>
      <c r="BH1061" s="2"/>
      <c r="BI1061" s="2"/>
    </row>
    <row r="1062" spans="1:61" s="133" customFormat="1" ht="27.6" customHeight="1" x14ac:dyDescent="0.2">
      <c r="A1062" s="163">
        <v>1047</v>
      </c>
      <c r="B1062" s="58" t="s">
        <v>666</v>
      </c>
      <c r="C1062" s="9" t="s">
        <v>572</v>
      </c>
      <c r="D1062" s="71">
        <v>5930000</v>
      </c>
      <c r="E1062" s="9"/>
      <c r="F1062" s="9"/>
      <c r="G1062" s="62"/>
      <c r="H1062" s="54">
        <v>7.25</v>
      </c>
      <c r="I1062" s="34"/>
      <c r="J1062" s="34"/>
      <c r="K1062" s="34"/>
      <c r="L1062" s="34"/>
      <c r="M1062" s="34">
        <v>0</v>
      </c>
      <c r="N1062" s="34">
        <f t="shared" si="334"/>
        <v>5930000</v>
      </c>
      <c r="O1062" s="34"/>
      <c r="P1062" s="34"/>
      <c r="Q1062" s="34"/>
      <c r="R1062" s="34"/>
      <c r="S1062" s="34">
        <f t="shared" si="336"/>
        <v>5930000</v>
      </c>
      <c r="T1062" s="34">
        <v>0</v>
      </c>
      <c r="U1062" s="34">
        <v>0</v>
      </c>
      <c r="V1062" s="34"/>
      <c r="W1062" s="34"/>
      <c r="X1062" s="34"/>
      <c r="Y1062" s="34"/>
      <c r="Z1062" s="34">
        <v>0</v>
      </c>
      <c r="AA1062" s="34">
        <f t="shared" si="345"/>
        <v>143700.95890410958</v>
      </c>
      <c r="AB1062" s="8">
        <f t="shared" si="344"/>
        <v>429925</v>
      </c>
      <c r="AC1062" s="4">
        <f t="shared" si="329"/>
        <v>429924.99999999994</v>
      </c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  <c r="AV1062" s="2"/>
      <c r="AW1062" s="2"/>
      <c r="AX1062" s="2"/>
      <c r="AY1062" s="2"/>
      <c r="AZ1062" s="2"/>
      <c r="BA1062" s="2"/>
      <c r="BB1062" s="2"/>
      <c r="BC1062" s="2"/>
      <c r="BD1062" s="2"/>
      <c r="BE1062" s="2"/>
      <c r="BF1062" s="2"/>
      <c r="BG1062" s="2"/>
      <c r="BH1062" s="2"/>
      <c r="BI1062" s="2"/>
    </row>
    <row r="1063" spans="1:61" s="133" customFormat="1" ht="27.6" customHeight="1" x14ac:dyDescent="0.2">
      <c r="A1063" s="163">
        <v>1048</v>
      </c>
      <c r="B1063" s="58" t="s">
        <v>666</v>
      </c>
      <c r="C1063" s="9" t="s">
        <v>572</v>
      </c>
      <c r="D1063" s="71">
        <v>7220000</v>
      </c>
      <c r="E1063" s="9"/>
      <c r="F1063" s="9"/>
      <c r="G1063" s="62"/>
      <c r="H1063" s="54">
        <v>7.25</v>
      </c>
      <c r="I1063" s="34"/>
      <c r="J1063" s="34"/>
      <c r="K1063" s="34"/>
      <c r="L1063" s="34"/>
      <c r="M1063" s="34">
        <v>0</v>
      </c>
      <c r="N1063" s="34">
        <f t="shared" si="334"/>
        <v>7220000</v>
      </c>
      <c r="O1063" s="34"/>
      <c r="P1063" s="34"/>
      <c r="Q1063" s="34"/>
      <c r="R1063" s="34"/>
      <c r="S1063" s="34">
        <f t="shared" si="336"/>
        <v>7220000</v>
      </c>
      <c r="T1063" s="34">
        <v>0</v>
      </c>
      <c r="U1063" s="34">
        <v>0</v>
      </c>
      <c r="V1063" s="34"/>
      <c r="W1063" s="34"/>
      <c r="X1063" s="34"/>
      <c r="Y1063" s="34"/>
      <c r="Z1063" s="34">
        <v>0</v>
      </c>
      <c r="AA1063" s="34">
        <f t="shared" si="345"/>
        <v>174961.36986301371</v>
      </c>
      <c r="AB1063" s="8">
        <f t="shared" si="344"/>
        <v>523450</v>
      </c>
      <c r="AC1063" s="4">
        <f t="shared" si="329"/>
        <v>523449.99999999994</v>
      </c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  <c r="AV1063" s="2"/>
      <c r="AW1063" s="2"/>
      <c r="AX1063" s="2"/>
      <c r="AY1063" s="2"/>
      <c r="AZ1063" s="2"/>
      <c r="BA1063" s="2"/>
      <c r="BB1063" s="2"/>
      <c r="BC1063" s="2"/>
      <c r="BD1063" s="2"/>
      <c r="BE1063" s="2"/>
      <c r="BF1063" s="2"/>
      <c r="BG1063" s="2"/>
      <c r="BH1063" s="2"/>
      <c r="BI1063" s="2"/>
    </row>
    <row r="1064" spans="1:61" s="133" customFormat="1" ht="27.6" customHeight="1" x14ac:dyDescent="0.2">
      <c r="A1064" s="163">
        <v>1049</v>
      </c>
      <c r="B1064" s="58" t="s">
        <v>666</v>
      </c>
      <c r="C1064" s="9" t="s">
        <v>572</v>
      </c>
      <c r="D1064" s="71">
        <v>15635000</v>
      </c>
      <c r="E1064" s="9"/>
      <c r="F1064" s="9"/>
      <c r="G1064" s="62"/>
      <c r="H1064" s="54">
        <v>7.25</v>
      </c>
      <c r="I1064" s="34"/>
      <c r="J1064" s="34"/>
      <c r="K1064" s="34"/>
      <c r="L1064" s="34"/>
      <c r="M1064" s="34">
        <v>0</v>
      </c>
      <c r="N1064" s="34">
        <f t="shared" si="334"/>
        <v>15635000</v>
      </c>
      <c r="O1064" s="34"/>
      <c r="P1064" s="34"/>
      <c r="Q1064" s="34"/>
      <c r="R1064" s="34"/>
      <c r="S1064" s="34">
        <f t="shared" si="336"/>
        <v>15635000</v>
      </c>
      <c r="T1064" s="34">
        <v>0</v>
      </c>
      <c r="U1064" s="34">
        <v>0</v>
      </c>
      <c r="V1064" s="34"/>
      <c r="W1064" s="34"/>
      <c r="X1064" s="34"/>
      <c r="Y1064" s="34"/>
      <c r="Z1064" s="34">
        <v>0</v>
      </c>
      <c r="AA1064" s="34">
        <f t="shared" si="345"/>
        <v>378881.0273972603</v>
      </c>
      <c r="AB1064" s="8">
        <f t="shared" si="344"/>
        <v>1133537.5</v>
      </c>
      <c r="AC1064" s="4">
        <f t="shared" si="329"/>
        <v>1133537.5</v>
      </c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  <c r="AZ1064" s="2"/>
      <c r="BA1064" s="2"/>
      <c r="BB1064" s="2"/>
      <c r="BC1064" s="2"/>
      <c r="BD1064" s="2"/>
      <c r="BE1064" s="2"/>
      <c r="BF1064" s="2"/>
      <c r="BG1064" s="2"/>
      <c r="BH1064" s="2"/>
      <c r="BI1064" s="2"/>
    </row>
    <row r="1065" spans="1:61" s="133" customFormat="1" ht="27.6" customHeight="1" x14ac:dyDescent="0.2">
      <c r="A1065" s="163">
        <v>1050</v>
      </c>
      <c r="B1065" s="58" t="s">
        <v>666</v>
      </c>
      <c r="C1065" s="9" t="s">
        <v>572</v>
      </c>
      <c r="D1065" s="71">
        <v>48826000</v>
      </c>
      <c r="E1065" s="9"/>
      <c r="F1065" s="9"/>
      <c r="G1065" s="62"/>
      <c r="H1065" s="54">
        <v>7.25</v>
      </c>
      <c r="I1065" s="34"/>
      <c r="J1065" s="34"/>
      <c r="K1065" s="34"/>
      <c r="L1065" s="34"/>
      <c r="M1065" s="34">
        <v>0</v>
      </c>
      <c r="N1065" s="34">
        <f t="shared" si="334"/>
        <v>48826000</v>
      </c>
      <c r="O1065" s="34"/>
      <c r="P1065" s="34"/>
      <c r="Q1065" s="34"/>
      <c r="R1065" s="34"/>
      <c r="S1065" s="34">
        <f t="shared" si="336"/>
        <v>48826000</v>
      </c>
      <c r="T1065" s="34">
        <v>0</v>
      </c>
      <c r="U1065" s="34">
        <v>0</v>
      </c>
      <c r="V1065" s="34"/>
      <c r="W1065" s="34"/>
      <c r="X1065" s="34"/>
      <c r="Y1065" s="34"/>
      <c r="Z1065" s="34">
        <v>0</v>
      </c>
      <c r="AA1065" s="34">
        <f t="shared" si="345"/>
        <v>1183194.4383561644</v>
      </c>
      <c r="AB1065" s="8">
        <f t="shared" si="344"/>
        <v>3539885</v>
      </c>
      <c r="AC1065" s="4">
        <f t="shared" si="329"/>
        <v>3539884.9999999995</v>
      </c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  <c r="AZ1065" s="2"/>
      <c r="BA1065" s="2"/>
      <c r="BB1065" s="2"/>
      <c r="BC1065" s="2"/>
      <c r="BD1065" s="2"/>
      <c r="BE1065" s="2"/>
      <c r="BF1065" s="2"/>
      <c r="BG1065" s="2"/>
      <c r="BH1065" s="2"/>
      <c r="BI1065" s="2"/>
    </row>
    <row r="1066" spans="1:61" s="133" customFormat="1" ht="27.6" customHeight="1" x14ac:dyDescent="0.2">
      <c r="A1066" s="163">
        <v>1051</v>
      </c>
      <c r="B1066" s="58" t="s">
        <v>667</v>
      </c>
      <c r="C1066" s="9" t="s">
        <v>572</v>
      </c>
      <c r="D1066" s="71">
        <v>3044000</v>
      </c>
      <c r="E1066" s="9"/>
      <c r="F1066" s="9"/>
      <c r="G1066" s="62"/>
      <c r="H1066" s="54">
        <v>7.25</v>
      </c>
      <c r="I1066" s="34"/>
      <c r="J1066" s="34"/>
      <c r="K1066" s="34"/>
      <c r="L1066" s="34"/>
      <c r="M1066" s="34">
        <v>0</v>
      </c>
      <c r="N1066" s="34">
        <f t="shared" si="334"/>
        <v>3044000</v>
      </c>
      <c r="O1066" s="34"/>
      <c r="P1066" s="34"/>
      <c r="Q1066" s="34"/>
      <c r="R1066" s="34"/>
      <c r="S1066" s="34">
        <f t="shared" si="336"/>
        <v>3044000</v>
      </c>
      <c r="T1066" s="34">
        <v>0</v>
      </c>
      <c r="U1066" s="34">
        <v>0</v>
      </c>
      <c r="V1066" s="34"/>
      <c r="W1066" s="34"/>
      <c r="X1066" s="34"/>
      <c r="Y1066" s="34"/>
      <c r="Z1066" s="34">
        <v>0</v>
      </c>
      <c r="AA1066" s="34">
        <f>AB1066/365*114</f>
        <v>68927.835616438359</v>
      </c>
      <c r="AB1066" s="8">
        <f t="shared" si="344"/>
        <v>220690</v>
      </c>
      <c r="AC1066" s="4">
        <f t="shared" si="329"/>
        <v>220689.99999999997</v>
      </c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  <c r="BD1066" s="2"/>
      <c r="BE1066" s="2"/>
      <c r="BF1066" s="2"/>
      <c r="BG1066" s="2"/>
      <c r="BH1066" s="2"/>
      <c r="BI1066" s="2"/>
    </row>
    <row r="1067" spans="1:61" s="133" customFormat="1" ht="27.6" customHeight="1" x14ac:dyDescent="0.2">
      <c r="A1067" s="163">
        <v>1052</v>
      </c>
      <c r="B1067" s="58" t="s">
        <v>670</v>
      </c>
      <c r="C1067" s="9" t="s">
        <v>572</v>
      </c>
      <c r="D1067" s="71">
        <v>6595000</v>
      </c>
      <c r="E1067" s="9"/>
      <c r="F1067" s="9"/>
      <c r="G1067" s="62"/>
      <c r="H1067" s="54">
        <v>7.25</v>
      </c>
      <c r="I1067" s="34"/>
      <c r="J1067" s="34"/>
      <c r="K1067" s="34"/>
      <c r="L1067" s="34"/>
      <c r="M1067" s="34">
        <v>0</v>
      </c>
      <c r="N1067" s="34">
        <f t="shared" si="334"/>
        <v>6595000</v>
      </c>
      <c r="O1067" s="34"/>
      <c r="P1067" s="34"/>
      <c r="Q1067" s="34"/>
      <c r="R1067" s="34"/>
      <c r="S1067" s="34">
        <f t="shared" si="336"/>
        <v>6595000</v>
      </c>
      <c r="T1067" s="34">
        <v>0</v>
      </c>
      <c r="U1067" s="34">
        <v>0</v>
      </c>
      <c r="V1067" s="34"/>
      <c r="W1067" s="34"/>
      <c r="X1067" s="34"/>
      <c r="Y1067" s="34"/>
      <c r="Z1067" s="34">
        <v>0</v>
      </c>
      <c r="AA1067" s="34">
        <f>AB1067/365*90</f>
        <v>117896.91780821918</v>
      </c>
      <c r="AB1067" s="8">
        <f t="shared" si="344"/>
        <v>478137.5</v>
      </c>
      <c r="AC1067" s="4">
        <f t="shared" si="329"/>
        <v>478137.49999999994</v>
      </c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  <c r="AV1067" s="2"/>
      <c r="AW1067" s="2"/>
      <c r="AX1067" s="2"/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</row>
    <row r="1068" spans="1:61" s="133" customFormat="1" ht="27.6" customHeight="1" x14ac:dyDescent="0.2">
      <c r="A1068" s="163">
        <v>1053</v>
      </c>
      <c r="B1068" s="58" t="s">
        <v>670</v>
      </c>
      <c r="C1068" s="9" t="s">
        <v>572</v>
      </c>
      <c r="D1068" s="71">
        <v>25391000</v>
      </c>
      <c r="E1068" s="9"/>
      <c r="F1068" s="9"/>
      <c r="G1068" s="62"/>
      <c r="H1068" s="54">
        <v>7.25</v>
      </c>
      <c r="I1068" s="34"/>
      <c r="J1068" s="34"/>
      <c r="K1068" s="34"/>
      <c r="L1068" s="34"/>
      <c r="M1068" s="34">
        <v>0</v>
      </c>
      <c r="N1068" s="34">
        <f t="shared" si="334"/>
        <v>25391000</v>
      </c>
      <c r="O1068" s="34"/>
      <c r="P1068" s="34"/>
      <c r="Q1068" s="34"/>
      <c r="R1068" s="34"/>
      <c r="S1068" s="34">
        <f t="shared" si="336"/>
        <v>25391000</v>
      </c>
      <c r="T1068" s="34">
        <v>0</v>
      </c>
      <c r="U1068" s="34">
        <v>0</v>
      </c>
      <c r="V1068" s="34"/>
      <c r="W1068" s="34"/>
      <c r="X1068" s="34"/>
      <c r="Y1068" s="34"/>
      <c r="Z1068" s="34">
        <v>0</v>
      </c>
      <c r="AA1068" s="34">
        <f t="shared" ref="AA1068" si="346">AB1068/365*90</f>
        <v>453907.60273972608</v>
      </c>
      <c r="AB1068" s="8">
        <f t="shared" si="344"/>
        <v>1840847.5</v>
      </c>
      <c r="AC1068" s="4">
        <f t="shared" si="329"/>
        <v>1840847.4999999998</v>
      </c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  <c r="AV1068" s="2"/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</row>
    <row r="1069" spans="1:61" s="133" customFormat="1" ht="27.6" customHeight="1" x14ac:dyDescent="0.2">
      <c r="A1069" s="163">
        <v>1054</v>
      </c>
      <c r="B1069" s="58" t="s">
        <v>671</v>
      </c>
      <c r="C1069" s="9" t="s">
        <v>572</v>
      </c>
      <c r="D1069" s="71">
        <v>9559000</v>
      </c>
      <c r="E1069" s="9"/>
      <c r="F1069" s="9"/>
      <c r="G1069" s="62"/>
      <c r="H1069" s="54">
        <v>7.25</v>
      </c>
      <c r="I1069" s="34"/>
      <c r="J1069" s="34"/>
      <c r="K1069" s="34"/>
      <c r="L1069" s="34"/>
      <c r="M1069" s="34">
        <v>0</v>
      </c>
      <c r="N1069" s="34">
        <f t="shared" si="334"/>
        <v>9559000</v>
      </c>
      <c r="O1069" s="34"/>
      <c r="P1069" s="34"/>
      <c r="Q1069" s="34"/>
      <c r="R1069" s="34"/>
      <c r="S1069" s="34">
        <f t="shared" si="336"/>
        <v>9559000</v>
      </c>
      <c r="T1069" s="34">
        <v>0</v>
      </c>
      <c r="U1069" s="34">
        <v>0</v>
      </c>
      <c r="V1069" s="34"/>
      <c r="W1069" s="34"/>
      <c r="X1069" s="34"/>
      <c r="Y1069" s="34"/>
      <c r="Z1069" s="34">
        <v>0</v>
      </c>
      <c r="AA1069" s="34">
        <f>AB1069/365*84</f>
        <v>159491.26027397261</v>
      </c>
      <c r="AB1069" s="8">
        <f t="shared" si="344"/>
        <v>693027.5</v>
      </c>
      <c r="AC1069" s="4">
        <f t="shared" si="329"/>
        <v>693027.5</v>
      </c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  <c r="AV1069" s="2"/>
      <c r="AW1069" s="2"/>
      <c r="AX1069" s="2"/>
      <c r="AY1069" s="2"/>
      <c r="AZ1069" s="2"/>
      <c r="BA1069" s="2"/>
      <c r="BB1069" s="2"/>
      <c r="BC1069" s="2"/>
      <c r="BD1069" s="2"/>
      <c r="BE1069" s="2"/>
      <c r="BF1069" s="2"/>
      <c r="BG1069" s="2"/>
      <c r="BH1069" s="2"/>
      <c r="BI1069" s="2"/>
    </row>
    <row r="1070" spans="1:61" s="133" customFormat="1" ht="27.6" customHeight="1" x14ac:dyDescent="0.2">
      <c r="A1070" s="163">
        <v>1055</v>
      </c>
      <c r="B1070" s="58" t="s">
        <v>671</v>
      </c>
      <c r="C1070" s="9" t="s">
        <v>572</v>
      </c>
      <c r="D1070" s="71">
        <v>25901000</v>
      </c>
      <c r="E1070" s="9"/>
      <c r="F1070" s="9"/>
      <c r="G1070" s="62"/>
      <c r="H1070" s="54">
        <v>7.25</v>
      </c>
      <c r="I1070" s="34"/>
      <c r="J1070" s="34"/>
      <c r="K1070" s="34"/>
      <c r="L1070" s="34"/>
      <c r="M1070" s="34">
        <v>0</v>
      </c>
      <c r="N1070" s="34">
        <f t="shared" si="334"/>
        <v>25901000</v>
      </c>
      <c r="O1070" s="34"/>
      <c r="P1070" s="34"/>
      <c r="Q1070" s="34"/>
      <c r="R1070" s="34"/>
      <c r="S1070" s="34">
        <f t="shared" si="336"/>
        <v>25901000</v>
      </c>
      <c r="T1070" s="34">
        <v>0</v>
      </c>
      <c r="U1070" s="34">
        <v>0</v>
      </c>
      <c r="V1070" s="34"/>
      <c r="W1070" s="34"/>
      <c r="X1070" s="34"/>
      <c r="Y1070" s="34"/>
      <c r="Z1070" s="34">
        <v>0</v>
      </c>
      <c r="AA1070" s="34">
        <f t="shared" ref="AA1070:AA1073" si="347">AB1070/365*84</f>
        <v>432156.41095890413</v>
      </c>
      <c r="AB1070" s="8">
        <f t="shared" si="344"/>
        <v>1877822.5</v>
      </c>
      <c r="AC1070" s="4">
        <f t="shared" si="329"/>
        <v>1877822.4999999998</v>
      </c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  <c r="AV1070" s="2"/>
      <c r="AW1070" s="2"/>
      <c r="AX1070" s="2"/>
      <c r="AY1070" s="2"/>
      <c r="AZ1070" s="2"/>
      <c r="BA1070" s="2"/>
      <c r="BB1070" s="2"/>
      <c r="BC1070" s="2"/>
      <c r="BD1070" s="2"/>
      <c r="BE1070" s="2"/>
      <c r="BF1070" s="2"/>
      <c r="BG1070" s="2"/>
      <c r="BH1070" s="2"/>
      <c r="BI1070" s="2"/>
    </row>
    <row r="1071" spans="1:61" s="133" customFormat="1" ht="27.6" customHeight="1" x14ac:dyDescent="0.2">
      <c r="A1071" s="163">
        <v>1056</v>
      </c>
      <c r="B1071" s="58" t="s">
        <v>671</v>
      </c>
      <c r="C1071" s="9" t="s">
        <v>572</v>
      </c>
      <c r="D1071" s="71">
        <v>57008000</v>
      </c>
      <c r="E1071" s="9"/>
      <c r="F1071" s="9"/>
      <c r="G1071" s="62"/>
      <c r="H1071" s="54">
        <v>7.25</v>
      </c>
      <c r="I1071" s="34"/>
      <c r="J1071" s="34"/>
      <c r="K1071" s="34"/>
      <c r="L1071" s="34"/>
      <c r="M1071" s="34">
        <v>0</v>
      </c>
      <c r="N1071" s="34">
        <f t="shared" si="334"/>
        <v>57008000</v>
      </c>
      <c r="O1071" s="34"/>
      <c r="P1071" s="34"/>
      <c r="Q1071" s="34"/>
      <c r="R1071" s="34"/>
      <c r="S1071" s="34">
        <f t="shared" si="336"/>
        <v>57008000</v>
      </c>
      <c r="T1071" s="34">
        <v>0</v>
      </c>
      <c r="U1071" s="34">
        <v>0</v>
      </c>
      <c r="V1071" s="34"/>
      <c r="W1071" s="34"/>
      <c r="X1071" s="34"/>
      <c r="Y1071" s="34"/>
      <c r="Z1071" s="34">
        <v>0</v>
      </c>
      <c r="AA1071" s="34">
        <f t="shared" si="347"/>
        <v>951174.57534246577</v>
      </c>
      <c r="AB1071" s="8">
        <f t="shared" si="344"/>
        <v>4133080</v>
      </c>
      <c r="AC1071" s="4">
        <f t="shared" si="329"/>
        <v>4133079.9999999995</v>
      </c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  <c r="AV1071" s="2"/>
      <c r="AW1071" s="2"/>
      <c r="AX1071" s="2"/>
      <c r="AY1071" s="2"/>
      <c r="AZ1071" s="2"/>
      <c r="BA1071" s="2"/>
      <c r="BB1071" s="2"/>
      <c r="BC1071" s="2"/>
      <c r="BD1071" s="2"/>
      <c r="BE1071" s="2"/>
      <c r="BF1071" s="2"/>
      <c r="BG1071" s="2"/>
      <c r="BH1071" s="2"/>
      <c r="BI1071" s="2"/>
    </row>
    <row r="1072" spans="1:61" s="133" customFormat="1" ht="27.6" customHeight="1" x14ac:dyDescent="0.2">
      <c r="A1072" s="163">
        <v>1057</v>
      </c>
      <c r="B1072" s="58" t="s">
        <v>671</v>
      </c>
      <c r="C1072" s="9" t="s">
        <v>572</v>
      </c>
      <c r="D1072" s="71">
        <v>5084000</v>
      </c>
      <c r="E1072" s="9"/>
      <c r="F1072" s="9"/>
      <c r="G1072" s="62"/>
      <c r="H1072" s="54">
        <v>7.25</v>
      </c>
      <c r="I1072" s="34"/>
      <c r="J1072" s="34"/>
      <c r="K1072" s="34"/>
      <c r="L1072" s="34"/>
      <c r="M1072" s="34">
        <v>0</v>
      </c>
      <c r="N1072" s="34">
        <f t="shared" si="334"/>
        <v>5084000</v>
      </c>
      <c r="O1072" s="34"/>
      <c r="P1072" s="34"/>
      <c r="Q1072" s="34"/>
      <c r="R1072" s="34"/>
      <c r="S1072" s="34">
        <f t="shared" si="336"/>
        <v>5084000</v>
      </c>
      <c r="T1072" s="34">
        <v>0</v>
      </c>
      <c r="U1072" s="34">
        <v>0</v>
      </c>
      <c r="V1072" s="34"/>
      <c r="W1072" s="34"/>
      <c r="X1072" s="34"/>
      <c r="Y1072" s="34"/>
      <c r="Z1072" s="34">
        <v>0</v>
      </c>
      <c r="AA1072" s="34">
        <f t="shared" si="347"/>
        <v>84826.191780821915</v>
      </c>
      <c r="AB1072" s="8">
        <f t="shared" si="344"/>
        <v>368590</v>
      </c>
      <c r="AC1072" s="4">
        <f t="shared" si="329"/>
        <v>368590</v>
      </c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  <c r="AV1072" s="2"/>
      <c r="AW1072" s="2"/>
      <c r="AX1072" s="2"/>
      <c r="AY1072" s="2"/>
      <c r="AZ1072" s="2"/>
      <c r="BA1072" s="2"/>
      <c r="BB1072" s="2"/>
      <c r="BC1072" s="2"/>
      <c r="BD1072" s="2"/>
      <c r="BE1072" s="2"/>
      <c r="BF1072" s="2"/>
      <c r="BG1072" s="2"/>
      <c r="BH1072" s="2"/>
      <c r="BI1072" s="2"/>
    </row>
    <row r="1073" spans="1:61" s="133" customFormat="1" ht="27.6" customHeight="1" x14ac:dyDescent="0.2">
      <c r="A1073" s="163">
        <v>1058</v>
      </c>
      <c r="B1073" s="58" t="s">
        <v>671</v>
      </c>
      <c r="C1073" s="9" t="s">
        <v>572</v>
      </c>
      <c r="D1073" s="71">
        <v>4578000</v>
      </c>
      <c r="E1073" s="9"/>
      <c r="F1073" s="9"/>
      <c r="G1073" s="62"/>
      <c r="H1073" s="54">
        <v>7.25</v>
      </c>
      <c r="I1073" s="34"/>
      <c r="J1073" s="34"/>
      <c r="K1073" s="34"/>
      <c r="L1073" s="34"/>
      <c r="M1073" s="34">
        <v>0</v>
      </c>
      <c r="N1073" s="34">
        <f t="shared" si="334"/>
        <v>4578000</v>
      </c>
      <c r="O1073" s="34"/>
      <c r="P1073" s="34"/>
      <c r="Q1073" s="34"/>
      <c r="R1073" s="34"/>
      <c r="S1073" s="34">
        <f t="shared" si="336"/>
        <v>4578000</v>
      </c>
      <c r="T1073" s="34">
        <v>0</v>
      </c>
      <c r="U1073" s="34">
        <v>0</v>
      </c>
      <c r="V1073" s="34"/>
      <c r="W1073" s="34"/>
      <c r="X1073" s="34"/>
      <c r="Y1073" s="34"/>
      <c r="Z1073" s="34">
        <v>0</v>
      </c>
      <c r="AA1073" s="34">
        <f t="shared" si="347"/>
        <v>76383.61643835617</v>
      </c>
      <c r="AB1073" s="8">
        <f t="shared" si="344"/>
        <v>331905</v>
      </c>
      <c r="AC1073" s="4">
        <f t="shared" si="329"/>
        <v>331905</v>
      </c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  <c r="AV1073" s="2"/>
      <c r="AW1073" s="2"/>
      <c r="AX1073" s="2"/>
      <c r="AY1073" s="2"/>
      <c r="AZ1073" s="2"/>
      <c r="BA1073" s="2"/>
      <c r="BB1073" s="2"/>
      <c r="BC1073" s="2"/>
      <c r="BD1073" s="2"/>
      <c r="BE1073" s="2"/>
      <c r="BF1073" s="2"/>
      <c r="BG1073" s="2"/>
      <c r="BH1073" s="2"/>
      <c r="BI1073" s="2"/>
    </row>
    <row r="1074" spans="1:61" s="133" customFormat="1" ht="27.6" customHeight="1" x14ac:dyDescent="0.2">
      <c r="A1074" s="163">
        <v>1059</v>
      </c>
      <c r="B1074" s="58" t="s">
        <v>624</v>
      </c>
      <c r="C1074" s="9" t="s">
        <v>572</v>
      </c>
      <c r="D1074" s="71">
        <v>8726000</v>
      </c>
      <c r="E1074" s="9"/>
      <c r="F1074" s="9"/>
      <c r="G1074" s="62"/>
      <c r="H1074" s="54">
        <v>7.25</v>
      </c>
      <c r="I1074" s="34"/>
      <c r="J1074" s="34"/>
      <c r="K1074" s="34"/>
      <c r="L1074" s="34"/>
      <c r="M1074" s="34">
        <v>0</v>
      </c>
      <c r="N1074" s="34">
        <f t="shared" si="334"/>
        <v>8726000</v>
      </c>
      <c r="O1074" s="34"/>
      <c r="P1074" s="34"/>
      <c r="Q1074" s="34"/>
      <c r="R1074" s="34"/>
      <c r="S1074" s="34">
        <f t="shared" si="336"/>
        <v>8726000</v>
      </c>
      <c r="T1074" s="34">
        <v>0</v>
      </c>
      <c r="U1074" s="34">
        <v>0</v>
      </c>
      <c r="V1074" s="34"/>
      <c r="W1074" s="34"/>
      <c r="X1074" s="34"/>
      <c r="Y1074" s="34"/>
      <c r="Z1074" s="34">
        <v>0</v>
      </c>
      <c r="AA1074" s="34">
        <f>AB1074/365*77</f>
        <v>133459.98630136988</v>
      </c>
      <c r="AB1074" s="8">
        <f t="shared" si="344"/>
        <v>632635</v>
      </c>
      <c r="AC1074" s="4">
        <f t="shared" si="329"/>
        <v>632635</v>
      </c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  <c r="AV1074" s="2"/>
      <c r="AW1074" s="2"/>
      <c r="AX1074" s="2"/>
      <c r="AY1074" s="2"/>
      <c r="AZ1074" s="2"/>
      <c r="BA1074" s="2"/>
      <c r="BB1074" s="2"/>
      <c r="BC1074" s="2"/>
      <c r="BD1074" s="2"/>
      <c r="BE1074" s="2"/>
      <c r="BF1074" s="2"/>
      <c r="BG1074" s="2"/>
      <c r="BH1074" s="2"/>
      <c r="BI1074" s="2"/>
    </row>
    <row r="1075" spans="1:61" s="133" customFormat="1" ht="27.6" customHeight="1" x14ac:dyDescent="0.2">
      <c r="A1075" s="163">
        <v>1060</v>
      </c>
      <c r="B1075" s="58" t="s">
        <v>675</v>
      </c>
      <c r="C1075" s="9" t="s">
        <v>572</v>
      </c>
      <c r="D1075" s="71">
        <v>12305000</v>
      </c>
      <c r="E1075" s="9"/>
      <c r="F1075" s="9"/>
      <c r="G1075" s="62"/>
      <c r="H1075" s="54">
        <v>7.5</v>
      </c>
      <c r="I1075" s="34"/>
      <c r="J1075" s="34"/>
      <c r="K1075" s="34"/>
      <c r="L1075" s="34"/>
      <c r="M1075" s="34">
        <v>0</v>
      </c>
      <c r="N1075" s="34">
        <f t="shared" si="334"/>
        <v>12305000</v>
      </c>
      <c r="O1075" s="34"/>
      <c r="P1075" s="34"/>
      <c r="Q1075" s="34"/>
      <c r="R1075" s="34"/>
      <c r="S1075" s="34">
        <f t="shared" si="336"/>
        <v>12305000</v>
      </c>
      <c r="T1075" s="34">
        <v>0</v>
      </c>
      <c r="U1075" s="34">
        <v>0</v>
      </c>
      <c r="V1075" s="34"/>
      <c r="W1075" s="34"/>
      <c r="X1075" s="34"/>
      <c r="Y1075" s="34"/>
      <c r="Z1075" s="34">
        <v>0</v>
      </c>
      <c r="AA1075" s="34">
        <f>AB1075/365*57</f>
        <v>144120.20547945207</v>
      </c>
      <c r="AB1075" s="8">
        <f>N1075*7.5/100</f>
        <v>922875</v>
      </c>
      <c r="AC1075" s="4">
        <f t="shared" si="329"/>
        <v>922875</v>
      </c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  <c r="AV1075" s="2"/>
      <c r="AW1075" s="2"/>
      <c r="AX1075" s="2"/>
      <c r="AY1075" s="2"/>
      <c r="AZ1075" s="2"/>
      <c r="BA1075" s="2"/>
      <c r="BB1075" s="2"/>
      <c r="BC1075" s="2"/>
      <c r="BD1075" s="2"/>
      <c r="BE1075" s="2"/>
      <c r="BF1075" s="2"/>
      <c r="BG1075" s="2"/>
      <c r="BH1075" s="2"/>
      <c r="BI1075" s="2"/>
    </row>
    <row r="1076" spans="1:61" s="133" customFormat="1" ht="27.6" customHeight="1" x14ac:dyDescent="0.2">
      <c r="A1076" s="163">
        <v>1061</v>
      </c>
      <c r="B1076" s="58" t="s">
        <v>676</v>
      </c>
      <c r="C1076" s="9" t="s">
        <v>572</v>
      </c>
      <c r="D1076" s="71">
        <v>9094000</v>
      </c>
      <c r="E1076" s="9"/>
      <c r="F1076" s="9"/>
      <c r="G1076" s="62"/>
      <c r="H1076" s="54">
        <v>7.5</v>
      </c>
      <c r="I1076" s="34"/>
      <c r="J1076" s="34"/>
      <c r="K1076" s="34"/>
      <c r="L1076" s="34"/>
      <c r="M1076" s="34">
        <v>0</v>
      </c>
      <c r="N1076" s="34">
        <f t="shared" si="334"/>
        <v>9094000</v>
      </c>
      <c r="O1076" s="34"/>
      <c r="P1076" s="34"/>
      <c r="Q1076" s="34"/>
      <c r="R1076" s="34"/>
      <c r="S1076" s="34">
        <f t="shared" si="336"/>
        <v>9094000</v>
      </c>
      <c r="T1076" s="34">
        <v>0</v>
      </c>
      <c r="U1076" s="34">
        <v>0</v>
      </c>
      <c r="V1076" s="34"/>
      <c r="W1076" s="34"/>
      <c r="X1076" s="34"/>
      <c r="Y1076" s="34"/>
      <c r="Z1076" s="34">
        <v>0</v>
      </c>
      <c r="AA1076" s="34">
        <f>AB1076/365*56</f>
        <v>104643.28767123287</v>
      </c>
      <c r="AB1076" s="8">
        <f>N1076*7.5/100</f>
        <v>682050</v>
      </c>
      <c r="AC1076" s="4">
        <f t="shared" si="329"/>
        <v>682050</v>
      </c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  <c r="AV1076" s="2"/>
      <c r="AW1076" s="2"/>
      <c r="AX1076" s="2"/>
      <c r="AY1076" s="2"/>
      <c r="AZ1076" s="2"/>
      <c r="BA1076" s="2"/>
      <c r="BB1076" s="2"/>
      <c r="BC1076" s="2"/>
      <c r="BD1076" s="2"/>
      <c r="BE1076" s="2"/>
      <c r="BF1076" s="2"/>
      <c r="BG1076" s="2"/>
      <c r="BH1076" s="2"/>
      <c r="BI1076" s="2"/>
    </row>
    <row r="1077" spans="1:61" s="133" customFormat="1" ht="27.6" customHeight="1" x14ac:dyDescent="0.2">
      <c r="A1077" s="163">
        <v>1062</v>
      </c>
      <c r="B1077" s="58" t="s">
        <v>676</v>
      </c>
      <c r="C1077" s="9" t="s">
        <v>572</v>
      </c>
      <c r="D1077" s="71">
        <v>23411000</v>
      </c>
      <c r="E1077" s="9"/>
      <c r="F1077" s="9"/>
      <c r="G1077" s="62"/>
      <c r="H1077" s="54">
        <v>7.5</v>
      </c>
      <c r="I1077" s="34"/>
      <c r="J1077" s="34"/>
      <c r="K1077" s="34"/>
      <c r="L1077" s="34"/>
      <c r="M1077" s="34">
        <v>0</v>
      </c>
      <c r="N1077" s="34">
        <f t="shared" si="334"/>
        <v>23411000</v>
      </c>
      <c r="O1077" s="34"/>
      <c r="P1077" s="34"/>
      <c r="Q1077" s="34"/>
      <c r="R1077" s="34"/>
      <c r="S1077" s="34">
        <f t="shared" si="336"/>
        <v>23411000</v>
      </c>
      <c r="T1077" s="34">
        <v>0</v>
      </c>
      <c r="U1077" s="34">
        <v>0</v>
      </c>
      <c r="V1077" s="34"/>
      <c r="W1077" s="34"/>
      <c r="X1077" s="34"/>
      <c r="Y1077" s="34"/>
      <c r="Z1077" s="34">
        <v>0</v>
      </c>
      <c r="AA1077" s="34">
        <f t="shared" ref="AA1077:AA1082" si="348">AB1077/365*56</f>
        <v>269386.84931506851</v>
      </c>
      <c r="AB1077" s="8">
        <f t="shared" ref="AB1077:AB1105" si="349">N1077*7.5/100</f>
        <v>1755825</v>
      </c>
      <c r="AC1077" s="4">
        <f t="shared" si="329"/>
        <v>1755825</v>
      </c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  <c r="AV1077" s="2"/>
      <c r="AW1077" s="2"/>
      <c r="AX1077" s="2"/>
      <c r="AY1077" s="2"/>
      <c r="AZ1077" s="2"/>
      <c r="BA1077" s="2"/>
      <c r="BB1077" s="2"/>
      <c r="BC1077" s="2"/>
      <c r="BD1077" s="2"/>
      <c r="BE1077" s="2"/>
      <c r="BF1077" s="2"/>
      <c r="BG1077" s="2"/>
      <c r="BH1077" s="2"/>
      <c r="BI1077" s="2"/>
    </row>
    <row r="1078" spans="1:61" s="133" customFormat="1" ht="27.6" customHeight="1" x14ac:dyDescent="0.2">
      <c r="A1078" s="163">
        <v>1063</v>
      </c>
      <c r="B1078" s="58" t="s">
        <v>676</v>
      </c>
      <c r="C1078" s="9" t="s">
        <v>572</v>
      </c>
      <c r="D1078" s="71">
        <v>10534000</v>
      </c>
      <c r="E1078" s="9"/>
      <c r="F1078" s="9"/>
      <c r="G1078" s="62"/>
      <c r="H1078" s="54">
        <v>7.5</v>
      </c>
      <c r="I1078" s="34"/>
      <c r="J1078" s="34"/>
      <c r="K1078" s="34"/>
      <c r="L1078" s="34"/>
      <c r="M1078" s="34">
        <v>0</v>
      </c>
      <c r="N1078" s="34">
        <f t="shared" si="334"/>
        <v>10534000</v>
      </c>
      <c r="O1078" s="34"/>
      <c r="P1078" s="34"/>
      <c r="Q1078" s="34"/>
      <c r="R1078" s="34"/>
      <c r="S1078" s="34">
        <f t="shared" si="336"/>
        <v>10534000</v>
      </c>
      <c r="T1078" s="34">
        <v>0</v>
      </c>
      <c r="U1078" s="34">
        <v>0</v>
      </c>
      <c r="V1078" s="34"/>
      <c r="W1078" s="34"/>
      <c r="X1078" s="34"/>
      <c r="Y1078" s="34"/>
      <c r="Z1078" s="34">
        <v>0</v>
      </c>
      <c r="AA1078" s="34">
        <f t="shared" si="348"/>
        <v>121213.15068493152</v>
      </c>
      <c r="AB1078" s="8">
        <f t="shared" si="349"/>
        <v>790050</v>
      </c>
      <c r="AC1078" s="4">
        <f t="shared" si="329"/>
        <v>790050</v>
      </c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  <c r="AV1078" s="2"/>
      <c r="AW1078" s="2"/>
      <c r="AX1078" s="2"/>
      <c r="AY1078" s="2"/>
      <c r="AZ1078" s="2"/>
      <c r="BA1078" s="2"/>
      <c r="BB1078" s="2"/>
      <c r="BC1078" s="2"/>
      <c r="BD1078" s="2"/>
      <c r="BE1078" s="2"/>
      <c r="BF1078" s="2"/>
      <c r="BG1078" s="2"/>
      <c r="BH1078" s="2"/>
      <c r="BI1078" s="2"/>
    </row>
    <row r="1079" spans="1:61" s="133" customFormat="1" ht="27.6" customHeight="1" x14ac:dyDescent="0.2">
      <c r="A1079" s="163">
        <v>1064</v>
      </c>
      <c r="B1079" s="58" t="s">
        <v>676</v>
      </c>
      <c r="C1079" s="9" t="s">
        <v>572</v>
      </c>
      <c r="D1079" s="71">
        <v>3375000</v>
      </c>
      <c r="E1079" s="9"/>
      <c r="F1079" s="9"/>
      <c r="G1079" s="62"/>
      <c r="H1079" s="54">
        <v>7.5</v>
      </c>
      <c r="I1079" s="34"/>
      <c r="J1079" s="34"/>
      <c r="K1079" s="34"/>
      <c r="L1079" s="34"/>
      <c r="M1079" s="34">
        <v>0</v>
      </c>
      <c r="N1079" s="34">
        <f t="shared" si="334"/>
        <v>3375000</v>
      </c>
      <c r="O1079" s="34"/>
      <c r="P1079" s="34"/>
      <c r="Q1079" s="34"/>
      <c r="R1079" s="34"/>
      <c r="S1079" s="34">
        <f t="shared" si="336"/>
        <v>3375000</v>
      </c>
      <c r="T1079" s="34">
        <v>0</v>
      </c>
      <c r="U1079" s="34">
        <v>0</v>
      </c>
      <c r="V1079" s="34"/>
      <c r="W1079" s="34"/>
      <c r="X1079" s="34"/>
      <c r="Y1079" s="34"/>
      <c r="Z1079" s="34">
        <v>0</v>
      </c>
      <c r="AA1079" s="34">
        <f t="shared" si="348"/>
        <v>38835.616438356163</v>
      </c>
      <c r="AB1079" s="8">
        <f t="shared" si="349"/>
        <v>253125</v>
      </c>
      <c r="AC1079" s="4">
        <f t="shared" si="329"/>
        <v>253125</v>
      </c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  <c r="AV1079" s="2"/>
      <c r="AW1079" s="2"/>
      <c r="AX1079" s="2"/>
      <c r="AY1079" s="2"/>
      <c r="AZ1079" s="2"/>
      <c r="BA1079" s="2"/>
      <c r="BB1079" s="2"/>
      <c r="BC1079" s="2"/>
      <c r="BD1079" s="2"/>
      <c r="BE1079" s="2"/>
      <c r="BF1079" s="2"/>
      <c r="BG1079" s="2"/>
      <c r="BH1079" s="2"/>
      <c r="BI1079" s="2"/>
    </row>
    <row r="1080" spans="1:61" s="133" customFormat="1" ht="27.6" customHeight="1" x14ac:dyDescent="0.2">
      <c r="A1080" s="163">
        <v>1065</v>
      </c>
      <c r="B1080" s="58" t="s">
        <v>676</v>
      </c>
      <c r="C1080" s="9" t="s">
        <v>572</v>
      </c>
      <c r="D1080" s="71">
        <v>6037000</v>
      </c>
      <c r="E1080" s="9"/>
      <c r="F1080" s="9"/>
      <c r="G1080" s="62"/>
      <c r="H1080" s="54">
        <v>7.5</v>
      </c>
      <c r="I1080" s="34"/>
      <c r="J1080" s="34"/>
      <c r="K1080" s="34"/>
      <c r="L1080" s="34"/>
      <c r="M1080" s="34">
        <v>0</v>
      </c>
      <c r="N1080" s="34">
        <f t="shared" si="334"/>
        <v>6037000</v>
      </c>
      <c r="O1080" s="34"/>
      <c r="P1080" s="34"/>
      <c r="Q1080" s="34"/>
      <c r="R1080" s="34"/>
      <c r="S1080" s="34">
        <f t="shared" si="336"/>
        <v>6037000</v>
      </c>
      <c r="T1080" s="34">
        <v>0</v>
      </c>
      <c r="U1080" s="34">
        <v>0</v>
      </c>
      <c r="V1080" s="34"/>
      <c r="W1080" s="34"/>
      <c r="X1080" s="34"/>
      <c r="Y1080" s="34"/>
      <c r="Z1080" s="34">
        <v>0</v>
      </c>
      <c r="AA1080" s="34">
        <f t="shared" si="348"/>
        <v>69466.849315068495</v>
      </c>
      <c r="AB1080" s="8">
        <f t="shared" si="349"/>
        <v>452775</v>
      </c>
      <c r="AC1080" s="4">
        <f t="shared" si="329"/>
        <v>452775</v>
      </c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  <c r="AZ1080" s="2"/>
      <c r="BA1080" s="2"/>
      <c r="BB1080" s="2"/>
      <c r="BC1080" s="2"/>
      <c r="BD1080" s="2"/>
      <c r="BE1080" s="2"/>
      <c r="BF1080" s="2"/>
      <c r="BG1080" s="2"/>
      <c r="BH1080" s="2"/>
      <c r="BI1080" s="2"/>
    </row>
    <row r="1081" spans="1:61" s="133" customFormat="1" ht="27.6" customHeight="1" x14ac:dyDescent="0.2">
      <c r="A1081" s="163">
        <v>1066</v>
      </c>
      <c r="B1081" s="58" t="s">
        <v>676</v>
      </c>
      <c r="C1081" s="9" t="s">
        <v>572</v>
      </c>
      <c r="D1081" s="71">
        <v>9051000</v>
      </c>
      <c r="E1081" s="9"/>
      <c r="F1081" s="9"/>
      <c r="G1081" s="62"/>
      <c r="H1081" s="54">
        <v>7.5</v>
      </c>
      <c r="I1081" s="34"/>
      <c r="J1081" s="34"/>
      <c r="K1081" s="34"/>
      <c r="L1081" s="34"/>
      <c r="M1081" s="34">
        <v>0</v>
      </c>
      <c r="N1081" s="34">
        <f t="shared" si="334"/>
        <v>9051000</v>
      </c>
      <c r="O1081" s="34"/>
      <c r="P1081" s="34"/>
      <c r="Q1081" s="34"/>
      <c r="R1081" s="34"/>
      <c r="S1081" s="34">
        <f t="shared" si="336"/>
        <v>9051000</v>
      </c>
      <c r="T1081" s="34">
        <v>0</v>
      </c>
      <c r="U1081" s="34">
        <v>0</v>
      </c>
      <c r="V1081" s="34"/>
      <c r="W1081" s="34"/>
      <c r="X1081" s="34"/>
      <c r="Y1081" s="34"/>
      <c r="Z1081" s="34">
        <v>0</v>
      </c>
      <c r="AA1081" s="34">
        <f t="shared" si="348"/>
        <v>104148.49315068494</v>
      </c>
      <c r="AB1081" s="8">
        <f t="shared" si="349"/>
        <v>678825</v>
      </c>
      <c r="AC1081" s="4">
        <f t="shared" si="329"/>
        <v>678825</v>
      </c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  <c r="AV1081" s="2"/>
      <c r="AW1081" s="2"/>
      <c r="AX1081" s="2"/>
      <c r="AY1081" s="2"/>
      <c r="AZ1081" s="2"/>
      <c r="BA1081" s="2"/>
      <c r="BB1081" s="2"/>
      <c r="BC1081" s="2"/>
      <c r="BD1081" s="2"/>
      <c r="BE1081" s="2"/>
      <c r="BF1081" s="2"/>
      <c r="BG1081" s="2"/>
      <c r="BH1081" s="2"/>
      <c r="BI1081" s="2"/>
    </row>
    <row r="1082" spans="1:61" s="133" customFormat="1" ht="27.6" customHeight="1" x14ac:dyDescent="0.2">
      <c r="A1082" s="163">
        <v>1067</v>
      </c>
      <c r="B1082" s="58" t="s">
        <v>676</v>
      </c>
      <c r="C1082" s="9" t="s">
        <v>572</v>
      </c>
      <c r="D1082" s="71">
        <v>123625000</v>
      </c>
      <c r="E1082" s="9"/>
      <c r="F1082" s="9"/>
      <c r="G1082" s="62"/>
      <c r="H1082" s="54">
        <v>7.5</v>
      </c>
      <c r="I1082" s="34"/>
      <c r="J1082" s="34"/>
      <c r="K1082" s="34"/>
      <c r="L1082" s="34"/>
      <c r="M1082" s="34">
        <v>0</v>
      </c>
      <c r="N1082" s="34">
        <f t="shared" si="334"/>
        <v>123625000</v>
      </c>
      <c r="O1082" s="34"/>
      <c r="P1082" s="34"/>
      <c r="Q1082" s="34"/>
      <c r="R1082" s="34"/>
      <c r="S1082" s="34">
        <f t="shared" si="336"/>
        <v>123625000</v>
      </c>
      <c r="T1082" s="34">
        <v>0</v>
      </c>
      <c r="U1082" s="34">
        <v>0</v>
      </c>
      <c r="V1082" s="34"/>
      <c r="W1082" s="34"/>
      <c r="X1082" s="34"/>
      <c r="Y1082" s="34"/>
      <c r="Z1082" s="34">
        <v>0</v>
      </c>
      <c r="AA1082" s="34">
        <f t="shared" si="348"/>
        <v>1422534.2465753425</v>
      </c>
      <c r="AB1082" s="8">
        <f t="shared" si="349"/>
        <v>9271875</v>
      </c>
      <c r="AC1082" s="4">
        <f t="shared" ref="AC1082:AC1145" si="350">S1082*H1082%</f>
        <v>9271875</v>
      </c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  <c r="AV1082" s="2"/>
      <c r="AW1082" s="2"/>
      <c r="AX1082" s="2"/>
      <c r="AY1082" s="2"/>
      <c r="AZ1082" s="2"/>
      <c r="BA1082" s="2"/>
      <c r="BB1082" s="2"/>
      <c r="BC1082" s="2"/>
      <c r="BD1082" s="2"/>
      <c r="BE1082" s="2"/>
      <c r="BF1082" s="2"/>
      <c r="BG1082" s="2"/>
      <c r="BH1082" s="2"/>
      <c r="BI1082" s="2"/>
    </row>
    <row r="1083" spans="1:61" s="133" customFormat="1" ht="27.6" customHeight="1" x14ac:dyDescent="0.2">
      <c r="A1083" s="163">
        <v>1068</v>
      </c>
      <c r="B1083" s="58" t="s">
        <v>750</v>
      </c>
      <c r="C1083" s="9" t="s">
        <v>572</v>
      </c>
      <c r="D1083" s="71">
        <v>55049000</v>
      </c>
      <c r="E1083" s="9"/>
      <c r="F1083" s="9"/>
      <c r="G1083" s="62"/>
      <c r="H1083" s="54">
        <v>7.5</v>
      </c>
      <c r="I1083" s="34"/>
      <c r="J1083" s="34"/>
      <c r="K1083" s="34"/>
      <c r="L1083" s="34"/>
      <c r="M1083" s="34">
        <v>0</v>
      </c>
      <c r="N1083" s="34">
        <f t="shared" si="334"/>
        <v>55049000</v>
      </c>
      <c r="O1083" s="34"/>
      <c r="P1083" s="34"/>
      <c r="Q1083" s="34"/>
      <c r="R1083" s="34"/>
      <c r="S1083" s="34">
        <f t="shared" si="336"/>
        <v>55049000</v>
      </c>
      <c r="T1083" s="34">
        <v>0</v>
      </c>
      <c r="U1083" s="34">
        <v>0</v>
      </c>
      <c r="V1083" s="34"/>
      <c r="W1083" s="34"/>
      <c r="X1083" s="34"/>
      <c r="Y1083" s="34"/>
      <c r="Z1083" s="34">
        <v>0</v>
      </c>
      <c r="AA1083" s="34">
        <f>(N1083*7.5%)/365*21</f>
        <v>237540.20547945207</v>
      </c>
      <c r="AB1083" s="8">
        <f t="shared" si="349"/>
        <v>4128675</v>
      </c>
      <c r="AC1083" s="4">
        <f t="shared" si="350"/>
        <v>4128675</v>
      </c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  <c r="AV1083" s="2"/>
      <c r="AW1083" s="2"/>
      <c r="AX1083" s="2"/>
      <c r="AY1083" s="2"/>
      <c r="AZ1083" s="2"/>
      <c r="BA1083" s="2"/>
      <c r="BB1083" s="2"/>
      <c r="BC1083" s="2"/>
      <c r="BD1083" s="2"/>
      <c r="BE1083" s="2"/>
      <c r="BF1083" s="2"/>
      <c r="BG1083" s="2"/>
      <c r="BH1083" s="2"/>
      <c r="BI1083" s="2"/>
    </row>
    <row r="1084" spans="1:61" s="133" customFormat="1" ht="27.6" customHeight="1" x14ac:dyDescent="0.2">
      <c r="A1084" s="163">
        <v>1069</v>
      </c>
      <c r="B1084" s="58" t="s">
        <v>750</v>
      </c>
      <c r="C1084" s="9" t="s">
        <v>572</v>
      </c>
      <c r="D1084" s="71">
        <v>160501000</v>
      </c>
      <c r="E1084" s="9"/>
      <c r="F1084" s="9"/>
      <c r="G1084" s="62"/>
      <c r="H1084" s="54">
        <v>7.5</v>
      </c>
      <c r="I1084" s="34"/>
      <c r="J1084" s="34"/>
      <c r="K1084" s="34"/>
      <c r="L1084" s="34"/>
      <c r="M1084" s="34">
        <v>0</v>
      </c>
      <c r="N1084" s="34">
        <f t="shared" si="334"/>
        <v>160501000</v>
      </c>
      <c r="O1084" s="34"/>
      <c r="P1084" s="34"/>
      <c r="Q1084" s="34"/>
      <c r="R1084" s="34"/>
      <c r="S1084" s="34">
        <f t="shared" si="336"/>
        <v>160501000</v>
      </c>
      <c r="T1084" s="34">
        <v>0</v>
      </c>
      <c r="U1084" s="34">
        <v>0</v>
      </c>
      <c r="V1084" s="34"/>
      <c r="W1084" s="34"/>
      <c r="X1084" s="34"/>
      <c r="Y1084" s="34"/>
      <c r="Z1084" s="34">
        <v>0</v>
      </c>
      <c r="AA1084" s="34">
        <f t="shared" ref="AA1084:AA1085" si="351">(N1084*7.5%)/365*21</f>
        <v>692572.808219178</v>
      </c>
      <c r="AB1084" s="8">
        <f t="shared" si="349"/>
        <v>12037575</v>
      </c>
      <c r="AC1084" s="4">
        <f t="shared" si="350"/>
        <v>12037575</v>
      </c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  <c r="AW1084" s="2"/>
      <c r="AX1084" s="2"/>
      <c r="AY1084" s="2"/>
      <c r="AZ1084" s="2"/>
      <c r="BA1084" s="2"/>
      <c r="BB1084" s="2"/>
      <c r="BC1084" s="2"/>
      <c r="BD1084" s="2"/>
      <c r="BE1084" s="2"/>
      <c r="BF1084" s="2"/>
      <c r="BG1084" s="2"/>
      <c r="BH1084" s="2"/>
      <c r="BI1084" s="2"/>
    </row>
    <row r="1085" spans="1:61" s="133" customFormat="1" ht="27.6" customHeight="1" x14ac:dyDescent="0.2">
      <c r="A1085" s="163">
        <v>1070</v>
      </c>
      <c r="B1085" s="58" t="s">
        <v>750</v>
      </c>
      <c r="C1085" s="9" t="s">
        <v>572</v>
      </c>
      <c r="D1085" s="71">
        <v>12657000</v>
      </c>
      <c r="E1085" s="9"/>
      <c r="F1085" s="9"/>
      <c r="G1085" s="62"/>
      <c r="H1085" s="54">
        <v>7.5</v>
      </c>
      <c r="I1085" s="34"/>
      <c r="J1085" s="34"/>
      <c r="K1085" s="34"/>
      <c r="L1085" s="34"/>
      <c r="M1085" s="34">
        <v>0</v>
      </c>
      <c r="N1085" s="34">
        <f t="shared" si="334"/>
        <v>12657000</v>
      </c>
      <c r="O1085" s="34"/>
      <c r="P1085" s="34"/>
      <c r="Q1085" s="34"/>
      <c r="R1085" s="34"/>
      <c r="S1085" s="34">
        <f t="shared" si="336"/>
        <v>12657000</v>
      </c>
      <c r="T1085" s="34">
        <v>0</v>
      </c>
      <c r="U1085" s="34">
        <v>0</v>
      </c>
      <c r="V1085" s="34"/>
      <c r="W1085" s="34"/>
      <c r="X1085" s="34"/>
      <c r="Y1085" s="34"/>
      <c r="Z1085" s="34">
        <v>0</v>
      </c>
      <c r="AA1085" s="34">
        <f t="shared" si="351"/>
        <v>54615.821917808222</v>
      </c>
      <c r="AB1085" s="8">
        <f t="shared" si="349"/>
        <v>949275</v>
      </c>
      <c r="AC1085" s="4">
        <f t="shared" si="350"/>
        <v>949275</v>
      </c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  <c r="AV1085" s="2"/>
      <c r="AW1085" s="2"/>
      <c r="AX1085" s="2"/>
      <c r="AY1085" s="2"/>
      <c r="AZ1085" s="2"/>
      <c r="BA1085" s="2"/>
      <c r="BB1085" s="2"/>
      <c r="BC1085" s="2"/>
      <c r="BD1085" s="2"/>
      <c r="BE1085" s="2"/>
      <c r="BF1085" s="2"/>
      <c r="BG1085" s="2"/>
      <c r="BH1085" s="2"/>
      <c r="BI1085" s="2"/>
    </row>
    <row r="1086" spans="1:61" s="133" customFormat="1" ht="27.6" customHeight="1" x14ac:dyDescent="0.2">
      <c r="A1086" s="163">
        <v>1071</v>
      </c>
      <c r="B1086" s="58" t="s">
        <v>751</v>
      </c>
      <c r="C1086" s="9" t="s">
        <v>572</v>
      </c>
      <c r="D1086" s="71">
        <v>3446000</v>
      </c>
      <c r="E1086" s="9"/>
      <c r="F1086" s="9"/>
      <c r="G1086" s="62"/>
      <c r="H1086" s="54">
        <v>7.5</v>
      </c>
      <c r="I1086" s="34"/>
      <c r="J1086" s="34"/>
      <c r="K1086" s="34"/>
      <c r="L1086" s="34"/>
      <c r="M1086" s="34">
        <v>0</v>
      </c>
      <c r="N1086" s="34">
        <f t="shared" si="334"/>
        <v>3446000</v>
      </c>
      <c r="O1086" s="34"/>
      <c r="P1086" s="34"/>
      <c r="Q1086" s="34"/>
      <c r="R1086" s="34"/>
      <c r="S1086" s="34">
        <f t="shared" si="336"/>
        <v>3446000</v>
      </c>
      <c r="T1086" s="34">
        <v>0</v>
      </c>
      <c r="U1086" s="34">
        <v>0</v>
      </c>
      <c r="V1086" s="34"/>
      <c r="W1086" s="34"/>
      <c r="X1086" s="34"/>
      <c r="Y1086" s="34"/>
      <c r="Z1086" s="34">
        <v>0</v>
      </c>
      <c r="AA1086" s="34">
        <f>(N1086*7.5%)/365*20</f>
        <v>14161.64383561644</v>
      </c>
      <c r="AB1086" s="8">
        <f t="shared" si="349"/>
        <v>258450</v>
      </c>
      <c r="AC1086" s="4">
        <f t="shared" si="350"/>
        <v>258450</v>
      </c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  <c r="AV1086" s="2"/>
      <c r="AW1086" s="2"/>
      <c r="AX1086" s="2"/>
      <c r="AY1086" s="2"/>
      <c r="AZ1086" s="2"/>
      <c r="BA1086" s="2"/>
      <c r="BB1086" s="2"/>
      <c r="BC1086" s="2"/>
      <c r="BD1086" s="2"/>
      <c r="BE1086" s="2"/>
      <c r="BF1086" s="2"/>
      <c r="BG1086" s="2"/>
      <c r="BH1086" s="2"/>
      <c r="BI1086" s="2"/>
    </row>
    <row r="1087" spans="1:61" s="133" customFormat="1" ht="27.6" customHeight="1" x14ac:dyDescent="0.2">
      <c r="A1087" s="163">
        <v>1072</v>
      </c>
      <c r="B1087" s="58" t="s">
        <v>751</v>
      </c>
      <c r="C1087" s="9" t="s">
        <v>572</v>
      </c>
      <c r="D1087" s="71">
        <v>3311000</v>
      </c>
      <c r="E1087" s="9"/>
      <c r="F1087" s="9"/>
      <c r="G1087" s="62"/>
      <c r="H1087" s="54">
        <v>7.5</v>
      </c>
      <c r="I1087" s="34"/>
      <c r="J1087" s="34"/>
      <c r="K1087" s="34"/>
      <c r="L1087" s="34"/>
      <c r="M1087" s="34">
        <v>0</v>
      </c>
      <c r="N1087" s="34">
        <f t="shared" si="334"/>
        <v>3311000</v>
      </c>
      <c r="O1087" s="34"/>
      <c r="P1087" s="34"/>
      <c r="Q1087" s="34"/>
      <c r="R1087" s="34"/>
      <c r="S1087" s="34">
        <f t="shared" si="336"/>
        <v>3311000</v>
      </c>
      <c r="T1087" s="34">
        <v>0</v>
      </c>
      <c r="U1087" s="34">
        <v>0</v>
      </c>
      <c r="V1087" s="34"/>
      <c r="W1087" s="34"/>
      <c r="X1087" s="34"/>
      <c r="Y1087" s="34"/>
      <c r="Z1087" s="34">
        <v>0</v>
      </c>
      <c r="AA1087" s="34">
        <f t="shared" ref="AA1087:AA1089" si="352">(N1087*7.5%)/365*20</f>
        <v>13606.849315068494</v>
      </c>
      <c r="AB1087" s="8">
        <f t="shared" si="349"/>
        <v>248325</v>
      </c>
      <c r="AC1087" s="4">
        <f t="shared" si="350"/>
        <v>248325</v>
      </c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  <c r="AV1087" s="2"/>
      <c r="AW1087" s="2"/>
      <c r="AX1087" s="2"/>
      <c r="AY1087" s="2"/>
      <c r="AZ1087" s="2"/>
      <c r="BA1087" s="2"/>
      <c r="BB1087" s="2"/>
      <c r="BC1087" s="2"/>
      <c r="BD1087" s="2"/>
      <c r="BE1087" s="2"/>
      <c r="BF1087" s="2"/>
      <c r="BG1087" s="2"/>
      <c r="BH1087" s="2"/>
      <c r="BI1087" s="2"/>
    </row>
    <row r="1088" spans="1:61" s="133" customFormat="1" ht="27.6" customHeight="1" x14ac:dyDescent="0.2">
      <c r="A1088" s="163">
        <v>1073</v>
      </c>
      <c r="B1088" s="58" t="s">
        <v>751</v>
      </c>
      <c r="C1088" s="9" t="s">
        <v>572</v>
      </c>
      <c r="D1088" s="71">
        <v>7593000</v>
      </c>
      <c r="E1088" s="9"/>
      <c r="F1088" s="9"/>
      <c r="G1088" s="62"/>
      <c r="H1088" s="54">
        <v>7.5</v>
      </c>
      <c r="I1088" s="34"/>
      <c r="J1088" s="34"/>
      <c r="K1088" s="34"/>
      <c r="L1088" s="34"/>
      <c r="M1088" s="34">
        <v>0</v>
      </c>
      <c r="N1088" s="34">
        <f t="shared" si="334"/>
        <v>7593000</v>
      </c>
      <c r="O1088" s="34"/>
      <c r="P1088" s="34"/>
      <c r="Q1088" s="34"/>
      <c r="R1088" s="34"/>
      <c r="S1088" s="34">
        <f t="shared" si="336"/>
        <v>7593000</v>
      </c>
      <c r="T1088" s="34">
        <v>0</v>
      </c>
      <c r="U1088" s="34">
        <v>0</v>
      </c>
      <c r="V1088" s="34"/>
      <c r="W1088" s="34"/>
      <c r="X1088" s="34"/>
      <c r="Y1088" s="34"/>
      <c r="Z1088" s="34">
        <v>0</v>
      </c>
      <c r="AA1088" s="34">
        <f t="shared" si="352"/>
        <v>31204.109589041094</v>
      </c>
      <c r="AB1088" s="8">
        <f t="shared" si="349"/>
        <v>569475</v>
      </c>
      <c r="AC1088" s="4">
        <f t="shared" si="350"/>
        <v>569475</v>
      </c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  <c r="AV1088" s="2"/>
      <c r="AW1088" s="2"/>
      <c r="AX1088" s="2"/>
      <c r="AY1088" s="2"/>
      <c r="AZ1088" s="2"/>
      <c r="BA1088" s="2"/>
      <c r="BB1088" s="2"/>
      <c r="BC1088" s="2"/>
      <c r="BD1088" s="2"/>
      <c r="BE1088" s="2"/>
      <c r="BF1088" s="2"/>
      <c r="BG1088" s="2"/>
      <c r="BH1088" s="2"/>
      <c r="BI1088" s="2"/>
    </row>
    <row r="1089" spans="1:61" s="133" customFormat="1" ht="27.6" customHeight="1" x14ac:dyDescent="0.2">
      <c r="A1089" s="163">
        <v>1074</v>
      </c>
      <c r="B1089" s="58" t="s">
        <v>751</v>
      </c>
      <c r="C1089" s="9" t="s">
        <v>572</v>
      </c>
      <c r="D1089" s="71">
        <v>5581000</v>
      </c>
      <c r="E1089" s="9"/>
      <c r="F1089" s="9"/>
      <c r="G1089" s="62"/>
      <c r="H1089" s="54">
        <v>7.5</v>
      </c>
      <c r="I1089" s="34"/>
      <c r="J1089" s="34"/>
      <c r="K1089" s="34"/>
      <c r="L1089" s="34"/>
      <c r="M1089" s="34">
        <v>0</v>
      </c>
      <c r="N1089" s="34">
        <f t="shared" si="334"/>
        <v>5581000</v>
      </c>
      <c r="O1089" s="34"/>
      <c r="P1089" s="34"/>
      <c r="Q1089" s="34"/>
      <c r="R1089" s="34"/>
      <c r="S1089" s="34">
        <f t="shared" si="336"/>
        <v>5581000</v>
      </c>
      <c r="T1089" s="34">
        <v>0</v>
      </c>
      <c r="U1089" s="34">
        <v>0</v>
      </c>
      <c r="V1089" s="34"/>
      <c r="W1089" s="34"/>
      <c r="X1089" s="34"/>
      <c r="Y1089" s="34"/>
      <c r="Z1089" s="34">
        <v>0</v>
      </c>
      <c r="AA1089" s="34">
        <f t="shared" si="352"/>
        <v>22935.616438356163</v>
      </c>
      <c r="AB1089" s="8">
        <f t="shared" si="349"/>
        <v>418575</v>
      </c>
      <c r="AC1089" s="4">
        <f t="shared" si="350"/>
        <v>418575</v>
      </c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  <c r="AV1089" s="2"/>
      <c r="AW1089" s="2"/>
      <c r="AX1089" s="2"/>
      <c r="AY1089" s="2"/>
      <c r="AZ1089" s="2"/>
      <c r="BA1089" s="2"/>
      <c r="BB1089" s="2"/>
      <c r="BC1089" s="2"/>
      <c r="BD1089" s="2"/>
      <c r="BE1089" s="2"/>
      <c r="BF1089" s="2"/>
      <c r="BG1089" s="2"/>
      <c r="BH1089" s="2"/>
      <c r="BI1089" s="2"/>
    </row>
    <row r="1090" spans="1:61" s="133" customFormat="1" ht="27.6" customHeight="1" x14ac:dyDescent="0.2">
      <c r="A1090" s="163">
        <v>1075</v>
      </c>
      <c r="B1090" s="58" t="s">
        <v>753</v>
      </c>
      <c r="C1090" s="9" t="s">
        <v>572</v>
      </c>
      <c r="D1090" s="71">
        <v>5050000</v>
      </c>
      <c r="E1090" s="9"/>
      <c r="F1090" s="9"/>
      <c r="G1090" s="62"/>
      <c r="H1090" s="54">
        <v>7.5</v>
      </c>
      <c r="I1090" s="34"/>
      <c r="J1090" s="34"/>
      <c r="K1090" s="34"/>
      <c r="L1090" s="34"/>
      <c r="M1090" s="34">
        <v>0</v>
      </c>
      <c r="N1090" s="34">
        <f t="shared" si="334"/>
        <v>5050000</v>
      </c>
      <c r="O1090" s="34"/>
      <c r="P1090" s="34"/>
      <c r="Q1090" s="34"/>
      <c r="R1090" s="34"/>
      <c r="S1090" s="34">
        <f t="shared" si="336"/>
        <v>5050000</v>
      </c>
      <c r="T1090" s="34">
        <v>0</v>
      </c>
      <c r="U1090" s="34">
        <v>0</v>
      </c>
      <c r="V1090" s="34"/>
      <c r="W1090" s="34"/>
      <c r="X1090" s="34"/>
      <c r="Y1090" s="34"/>
      <c r="Z1090" s="34">
        <v>0</v>
      </c>
      <c r="AA1090" s="34">
        <f>(N1090*7.5%)/365*7</f>
        <v>7263.6986301369861</v>
      </c>
      <c r="AB1090" s="8">
        <f t="shared" si="349"/>
        <v>378750</v>
      </c>
      <c r="AC1090" s="4">
        <f t="shared" si="350"/>
        <v>378750</v>
      </c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  <c r="AV1090" s="2"/>
      <c r="AW1090" s="2"/>
      <c r="AX1090" s="2"/>
      <c r="AY1090" s="2"/>
      <c r="AZ1090" s="2"/>
      <c r="BA1090" s="2"/>
      <c r="BB1090" s="2"/>
      <c r="BC1090" s="2"/>
      <c r="BD1090" s="2"/>
      <c r="BE1090" s="2"/>
      <c r="BF1090" s="2"/>
      <c r="BG1090" s="2"/>
      <c r="BH1090" s="2"/>
      <c r="BI1090" s="2"/>
    </row>
    <row r="1091" spans="1:61" s="133" customFormat="1" ht="27.6" customHeight="1" x14ac:dyDescent="0.2">
      <c r="A1091" s="163">
        <v>1076</v>
      </c>
      <c r="B1091" s="58" t="s">
        <v>753</v>
      </c>
      <c r="C1091" s="9" t="s">
        <v>572</v>
      </c>
      <c r="D1091" s="71">
        <v>30719000</v>
      </c>
      <c r="E1091" s="9"/>
      <c r="F1091" s="9"/>
      <c r="G1091" s="62"/>
      <c r="H1091" s="54">
        <v>7.5</v>
      </c>
      <c r="I1091" s="34"/>
      <c r="J1091" s="34"/>
      <c r="K1091" s="34"/>
      <c r="L1091" s="34"/>
      <c r="M1091" s="34">
        <v>0</v>
      </c>
      <c r="N1091" s="34">
        <f t="shared" si="334"/>
        <v>30719000</v>
      </c>
      <c r="O1091" s="34"/>
      <c r="P1091" s="34"/>
      <c r="Q1091" s="34"/>
      <c r="R1091" s="34"/>
      <c r="S1091" s="34">
        <f t="shared" si="336"/>
        <v>30719000</v>
      </c>
      <c r="T1091" s="34">
        <v>0</v>
      </c>
      <c r="U1091" s="34">
        <v>0</v>
      </c>
      <c r="V1091" s="34"/>
      <c r="W1091" s="34"/>
      <c r="X1091" s="34"/>
      <c r="Y1091" s="34"/>
      <c r="Z1091" s="34">
        <v>0</v>
      </c>
      <c r="AA1091" s="34">
        <f>(N1091*7.5%)/365*7</f>
        <v>44184.863013698632</v>
      </c>
      <c r="AB1091" s="8">
        <f t="shared" si="349"/>
        <v>2303925</v>
      </c>
      <c r="AC1091" s="4">
        <f t="shared" si="350"/>
        <v>2303925</v>
      </c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  <c r="AV1091" s="2"/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</row>
    <row r="1092" spans="1:61" s="133" customFormat="1" ht="27.6" customHeight="1" x14ac:dyDescent="0.2">
      <c r="A1092" s="163">
        <v>1077</v>
      </c>
      <c r="B1092" s="58" t="s">
        <v>754</v>
      </c>
      <c r="C1092" s="9" t="s">
        <v>572</v>
      </c>
      <c r="D1092" s="71">
        <v>1138000</v>
      </c>
      <c r="E1092" s="9"/>
      <c r="F1092" s="9"/>
      <c r="G1092" s="62"/>
      <c r="H1092" s="54">
        <v>7.5</v>
      </c>
      <c r="I1092" s="34"/>
      <c r="J1092" s="34"/>
      <c r="K1092" s="34"/>
      <c r="L1092" s="34"/>
      <c r="M1092" s="34">
        <v>0</v>
      </c>
      <c r="N1092" s="34">
        <f t="shared" si="334"/>
        <v>1138000</v>
      </c>
      <c r="O1092" s="34"/>
      <c r="P1092" s="34"/>
      <c r="Q1092" s="34"/>
      <c r="R1092" s="34"/>
      <c r="S1092" s="34">
        <f t="shared" si="336"/>
        <v>1138000</v>
      </c>
      <c r="T1092" s="34">
        <v>0</v>
      </c>
      <c r="U1092" s="34">
        <v>0</v>
      </c>
      <c r="V1092" s="34"/>
      <c r="W1092" s="34"/>
      <c r="X1092" s="34"/>
      <c r="Y1092" s="34"/>
      <c r="Z1092" s="34">
        <v>0</v>
      </c>
      <c r="AA1092" s="34">
        <f>(N1092*7.5%)/365*6</f>
        <v>1403.013698630137</v>
      </c>
      <c r="AB1092" s="8">
        <f t="shared" si="349"/>
        <v>85350</v>
      </c>
      <c r="AC1092" s="4">
        <f t="shared" si="350"/>
        <v>85350</v>
      </c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  <c r="AV1092" s="2"/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</row>
    <row r="1093" spans="1:61" s="133" customFormat="1" ht="27.6" customHeight="1" x14ac:dyDescent="0.2">
      <c r="A1093" s="163">
        <v>1078</v>
      </c>
      <c r="B1093" s="58" t="s">
        <v>754</v>
      </c>
      <c r="C1093" s="9" t="s">
        <v>572</v>
      </c>
      <c r="D1093" s="71">
        <v>2509000</v>
      </c>
      <c r="E1093" s="9"/>
      <c r="F1093" s="9"/>
      <c r="G1093" s="62"/>
      <c r="H1093" s="54">
        <v>7.5</v>
      </c>
      <c r="I1093" s="34"/>
      <c r="J1093" s="34"/>
      <c r="K1093" s="34"/>
      <c r="L1093" s="34"/>
      <c r="M1093" s="34">
        <v>0</v>
      </c>
      <c r="N1093" s="34">
        <f t="shared" si="334"/>
        <v>2509000</v>
      </c>
      <c r="O1093" s="34"/>
      <c r="P1093" s="34"/>
      <c r="Q1093" s="34"/>
      <c r="R1093" s="34"/>
      <c r="S1093" s="34">
        <f t="shared" si="336"/>
        <v>2509000</v>
      </c>
      <c r="T1093" s="34">
        <v>0</v>
      </c>
      <c r="U1093" s="34">
        <v>0</v>
      </c>
      <c r="V1093" s="34"/>
      <c r="W1093" s="34"/>
      <c r="X1093" s="34"/>
      <c r="Y1093" s="34"/>
      <c r="Z1093" s="34">
        <v>0</v>
      </c>
      <c r="AA1093" s="34">
        <f t="shared" ref="AA1093:AA1099" si="353">(N1093*7.5%)/365*6</f>
        <v>3093.2876712328766</v>
      </c>
      <c r="AB1093" s="8">
        <f t="shared" si="349"/>
        <v>188175</v>
      </c>
      <c r="AC1093" s="4">
        <f t="shared" si="350"/>
        <v>188175</v>
      </c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  <c r="AV1093" s="2"/>
      <c r="AW1093" s="2"/>
      <c r="AX1093" s="2"/>
      <c r="AY1093" s="2"/>
      <c r="AZ1093" s="2"/>
      <c r="BA1093" s="2"/>
      <c r="BB1093" s="2"/>
      <c r="BC1093" s="2"/>
      <c r="BD1093" s="2"/>
      <c r="BE1093" s="2"/>
      <c r="BF1093" s="2"/>
      <c r="BG1093" s="2"/>
      <c r="BH1093" s="2"/>
      <c r="BI1093" s="2"/>
    </row>
    <row r="1094" spans="1:61" s="133" customFormat="1" ht="27.6" customHeight="1" x14ac:dyDescent="0.2">
      <c r="A1094" s="163">
        <v>1079</v>
      </c>
      <c r="B1094" s="58" t="s">
        <v>754</v>
      </c>
      <c r="C1094" s="9" t="s">
        <v>572</v>
      </c>
      <c r="D1094" s="71">
        <v>38144000</v>
      </c>
      <c r="E1094" s="9"/>
      <c r="F1094" s="9"/>
      <c r="G1094" s="62"/>
      <c r="H1094" s="54">
        <v>7.5</v>
      </c>
      <c r="I1094" s="34"/>
      <c r="J1094" s="34"/>
      <c r="K1094" s="34"/>
      <c r="L1094" s="34"/>
      <c r="M1094" s="34">
        <v>0</v>
      </c>
      <c r="N1094" s="34">
        <f t="shared" si="334"/>
        <v>38144000</v>
      </c>
      <c r="O1094" s="34"/>
      <c r="P1094" s="34"/>
      <c r="Q1094" s="34"/>
      <c r="R1094" s="34"/>
      <c r="S1094" s="34">
        <f t="shared" si="336"/>
        <v>38144000</v>
      </c>
      <c r="T1094" s="34">
        <v>0</v>
      </c>
      <c r="U1094" s="34">
        <v>0</v>
      </c>
      <c r="V1094" s="34"/>
      <c r="W1094" s="34"/>
      <c r="X1094" s="34"/>
      <c r="Y1094" s="34"/>
      <c r="Z1094" s="34">
        <v>0</v>
      </c>
      <c r="AA1094" s="34">
        <f t="shared" si="353"/>
        <v>47026.849315068495</v>
      </c>
      <c r="AB1094" s="8">
        <f t="shared" si="349"/>
        <v>2860800</v>
      </c>
      <c r="AC1094" s="4">
        <f t="shared" si="350"/>
        <v>2860800</v>
      </c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/>
      <c r="AW1094" s="2"/>
      <c r="AX1094" s="2"/>
      <c r="AY1094" s="2"/>
      <c r="AZ1094" s="2"/>
      <c r="BA1094" s="2"/>
      <c r="BB1094" s="2"/>
      <c r="BC1094" s="2"/>
      <c r="BD1094" s="2"/>
      <c r="BE1094" s="2"/>
      <c r="BF1094" s="2"/>
      <c r="BG1094" s="2"/>
      <c r="BH1094" s="2"/>
      <c r="BI1094" s="2"/>
    </row>
    <row r="1095" spans="1:61" s="133" customFormat="1" ht="27.6" customHeight="1" x14ac:dyDescent="0.2">
      <c r="A1095" s="163">
        <v>1080</v>
      </c>
      <c r="B1095" s="58" t="s">
        <v>754</v>
      </c>
      <c r="C1095" s="9" t="s">
        <v>572</v>
      </c>
      <c r="D1095" s="71">
        <v>135488000</v>
      </c>
      <c r="E1095" s="9"/>
      <c r="F1095" s="9"/>
      <c r="G1095" s="62"/>
      <c r="H1095" s="54">
        <v>7.5</v>
      </c>
      <c r="I1095" s="34"/>
      <c r="J1095" s="34"/>
      <c r="K1095" s="34"/>
      <c r="L1095" s="34"/>
      <c r="M1095" s="34">
        <v>0</v>
      </c>
      <c r="N1095" s="34">
        <f t="shared" si="334"/>
        <v>135488000</v>
      </c>
      <c r="O1095" s="34"/>
      <c r="P1095" s="34"/>
      <c r="Q1095" s="34"/>
      <c r="R1095" s="34"/>
      <c r="S1095" s="34">
        <f t="shared" si="336"/>
        <v>135488000</v>
      </c>
      <c r="T1095" s="34">
        <v>0</v>
      </c>
      <c r="U1095" s="34">
        <v>0</v>
      </c>
      <c r="V1095" s="34"/>
      <c r="W1095" s="34"/>
      <c r="X1095" s="34"/>
      <c r="Y1095" s="34"/>
      <c r="Z1095" s="34">
        <v>0</v>
      </c>
      <c r="AA1095" s="34">
        <f t="shared" si="353"/>
        <v>167040</v>
      </c>
      <c r="AB1095" s="8">
        <f t="shared" si="349"/>
        <v>10161600</v>
      </c>
      <c r="AC1095" s="4">
        <f t="shared" si="350"/>
        <v>10161600</v>
      </c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  <c r="AV1095" s="2"/>
      <c r="AW1095" s="2"/>
      <c r="AX1095" s="2"/>
      <c r="AY1095" s="2"/>
      <c r="AZ1095" s="2"/>
      <c r="BA1095" s="2"/>
      <c r="BB1095" s="2"/>
      <c r="BC1095" s="2"/>
      <c r="BD1095" s="2"/>
      <c r="BE1095" s="2"/>
      <c r="BF1095" s="2"/>
      <c r="BG1095" s="2"/>
      <c r="BH1095" s="2"/>
      <c r="BI1095" s="2"/>
    </row>
    <row r="1096" spans="1:61" s="133" customFormat="1" ht="27.6" customHeight="1" x14ac:dyDescent="0.2">
      <c r="A1096" s="163">
        <v>1081</v>
      </c>
      <c r="B1096" s="58" t="s">
        <v>754</v>
      </c>
      <c r="C1096" s="9" t="s">
        <v>572</v>
      </c>
      <c r="D1096" s="71">
        <v>11187000</v>
      </c>
      <c r="E1096" s="9"/>
      <c r="F1096" s="9"/>
      <c r="G1096" s="62"/>
      <c r="H1096" s="54">
        <v>7.5</v>
      </c>
      <c r="I1096" s="34"/>
      <c r="J1096" s="34"/>
      <c r="K1096" s="34"/>
      <c r="L1096" s="34"/>
      <c r="M1096" s="34">
        <v>0</v>
      </c>
      <c r="N1096" s="34">
        <f t="shared" si="334"/>
        <v>11187000</v>
      </c>
      <c r="O1096" s="34"/>
      <c r="P1096" s="34"/>
      <c r="Q1096" s="34"/>
      <c r="R1096" s="34"/>
      <c r="S1096" s="34">
        <f t="shared" si="336"/>
        <v>11187000</v>
      </c>
      <c r="T1096" s="34">
        <v>0</v>
      </c>
      <c r="U1096" s="34">
        <v>0</v>
      </c>
      <c r="V1096" s="34"/>
      <c r="W1096" s="34"/>
      <c r="X1096" s="34"/>
      <c r="Y1096" s="34"/>
      <c r="Z1096" s="34">
        <v>0</v>
      </c>
      <c r="AA1096" s="34">
        <f t="shared" si="353"/>
        <v>13792.191780821917</v>
      </c>
      <c r="AB1096" s="8">
        <f t="shared" si="349"/>
        <v>839025</v>
      </c>
      <c r="AC1096" s="4">
        <f t="shared" si="350"/>
        <v>839025</v>
      </c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  <c r="AV1096" s="2"/>
      <c r="AW1096" s="2"/>
      <c r="AX1096" s="2"/>
      <c r="AY1096" s="2"/>
      <c r="AZ1096" s="2"/>
      <c r="BA1096" s="2"/>
      <c r="BB1096" s="2"/>
      <c r="BC1096" s="2"/>
      <c r="BD1096" s="2"/>
      <c r="BE1096" s="2"/>
      <c r="BF1096" s="2"/>
      <c r="BG1096" s="2"/>
      <c r="BH1096" s="2"/>
      <c r="BI1096" s="2"/>
    </row>
    <row r="1097" spans="1:61" s="133" customFormat="1" ht="27.6" customHeight="1" x14ac:dyDescent="0.2">
      <c r="A1097" s="163">
        <v>1082</v>
      </c>
      <c r="B1097" s="58" t="s">
        <v>754</v>
      </c>
      <c r="C1097" s="9" t="s">
        <v>572</v>
      </c>
      <c r="D1097" s="71">
        <v>17960000</v>
      </c>
      <c r="E1097" s="9"/>
      <c r="F1097" s="9"/>
      <c r="G1097" s="62"/>
      <c r="H1097" s="54">
        <v>7.5</v>
      </c>
      <c r="I1097" s="34"/>
      <c r="J1097" s="34"/>
      <c r="K1097" s="34"/>
      <c r="L1097" s="34"/>
      <c r="M1097" s="34">
        <v>0</v>
      </c>
      <c r="N1097" s="34">
        <f t="shared" si="334"/>
        <v>17960000</v>
      </c>
      <c r="O1097" s="34"/>
      <c r="P1097" s="34"/>
      <c r="Q1097" s="34"/>
      <c r="R1097" s="34"/>
      <c r="S1097" s="34">
        <f t="shared" si="336"/>
        <v>17960000</v>
      </c>
      <c r="T1097" s="34">
        <v>0</v>
      </c>
      <c r="U1097" s="34">
        <v>0</v>
      </c>
      <c r="V1097" s="34"/>
      <c r="W1097" s="34"/>
      <c r="X1097" s="34"/>
      <c r="Y1097" s="34"/>
      <c r="Z1097" s="34">
        <v>0</v>
      </c>
      <c r="AA1097" s="34">
        <f t="shared" si="353"/>
        <v>22142.465753424658</v>
      </c>
      <c r="AB1097" s="8">
        <f t="shared" si="349"/>
        <v>1347000</v>
      </c>
      <c r="AC1097" s="4">
        <f t="shared" si="350"/>
        <v>1347000</v>
      </c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  <c r="AV1097" s="2"/>
      <c r="AW1097" s="2"/>
      <c r="AX1097" s="2"/>
      <c r="AY1097" s="2"/>
      <c r="AZ1097" s="2"/>
      <c r="BA1097" s="2"/>
      <c r="BB1097" s="2"/>
      <c r="BC1097" s="2"/>
      <c r="BD1097" s="2"/>
      <c r="BE1097" s="2"/>
      <c r="BF1097" s="2"/>
      <c r="BG1097" s="2"/>
      <c r="BH1097" s="2"/>
      <c r="BI1097" s="2"/>
    </row>
    <row r="1098" spans="1:61" s="133" customFormat="1" ht="27.6" customHeight="1" x14ac:dyDescent="0.2">
      <c r="A1098" s="163">
        <v>1083</v>
      </c>
      <c r="B1098" s="58" t="s">
        <v>754</v>
      </c>
      <c r="C1098" s="9" t="s">
        <v>572</v>
      </c>
      <c r="D1098" s="71">
        <v>94713000</v>
      </c>
      <c r="E1098" s="9"/>
      <c r="F1098" s="9"/>
      <c r="G1098" s="62"/>
      <c r="H1098" s="54">
        <v>7.5</v>
      </c>
      <c r="I1098" s="34"/>
      <c r="J1098" s="34"/>
      <c r="K1098" s="34"/>
      <c r="L1098" s="34"/>
      <c r="M1098" s="34">
        <v>0</v>
      </c>
      <c r="N1098" s="34">
        <f t="shared" si="334"/>
        <v>94713000</v>
      </c>
      <c r="O1098" s="34"/>
      <c r="P1098" s="34"/>
      <c r="Q1098" s="34"/>
      <c r="R1098" s="34"/>
      <c r="S1098" s="34">
        <f t="shared" si="336"/>
        <v>94713000</v>
      </c>
      <c r="T1098" s="34">
        <v>0</v>
      </c>
      <c r="U1098" s="34">
        <v>0</v>
      </c>
      <c r="V1098" s="34"/>
      <c r="W1098" s="34"/>
      <c r="X1098" s="34"/>
      <c r="Y1098" s="34"/>
      <c r="Z1098" s="34">
        <v>0</v>
      </c>
      <c r="AA1098" s="34">
        <f t="shared" si="353"/>
        <v>116769.45205479451</v>
      </c>
      <c r="AB1098" s="8">
        <f t="shared" si="349"/>
        <v>7103475</v>
      </c>
      <c r="AC1098" s="4">
        <f t="shared" si="350"/>
        <v>7103475</v>
      </c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  <c r="AV1098" s="2"/>
      <c r="AW1098" s="2"/>
      <c r="AX1098" s="2"/>
      <c r="AY1098" s="2"/>
      <c r="AZ1098" s="2"/>
      <c r="BA1098" s="2"/>
      <c r="BB1098" s="2"/>
      <c r="BC1098" s="2"/>
      <c r="BD1098" s="2"/>
      <c r="BE1098" s="2"/>
      <c r="BF1098" s="2"/>
      <c r="BG1098" s="2"/>
      <c r="BH1098" s="2"/>
      <c r="BI1098" s="2"/>
    </row>
    <row r="1099" spans="1:61" s="133" customFormat="1" ht="27.6" customHeight="1" x14ac:dyDescent="0.2">
      <c r="A1099" s="163">
        <v>1084</v>
      </c>
      <c r="B1099" s="58" t="s">
        <v>754</v>
      </c>
      <c r="C1099" s="9" t="s">
        <v>572</v>
      </c>
      <c r="D1099" s="71">
        <v>51977000</v>
      </c>
      <c r="E1099" s="9"/>
      <c r="F1099" s="9"/>
      <c r="G1099" s="62"/>
      <c r="H1099" s="54">
        <v>7.5</v>
      </c>
      <c r="I1099" s="34"/>
      <c r="J1099" s="34"/>
      <c r="K1099" s="34"/>
      <c r="L1099" s="34"/>
      <c r="M1099" s="34">
        <v>0</v>
      </c>
      <c r="N1099" s="34">
        <f t="shared" si="334"/>
        <v>51977000</v>
      </c>
      <c r="O1099" s="34"/>
      <c r="P1099" s="34"/>
      <c r="Q1099" s="34"/>
      <c r="R1099" s="34"/>
      <c r="S1099" s="34">
        <f t="shared" si="336"/>
        <v>51977000</v>
      </c>
      <c r="T1099" s="34">
        <v>0</v>
      </c>
      <c r="U1099" s="34">
        <v>0</v>
      </c>
      <c r="V1099" s="34"/>
      <c r="W1099" s="34"/>
      <c r="X1099" s="34"/>
      <c r="Y1099" s="34"/>
      <c r="Z1099" s="34">
        <v>0</v>
      </c>
      <c r="AA1099" s="34">
        <f t="shared" si="353"/>
        <v>64081.232876712333</v>
      </c>
      <c r="AB1099" s="8">
        <f t="shared" si="349"/>
        <v>3898275</v>
      </c>
      <c r="AC1099" s="4">
        <f t="shared" si="350"/>
        <v>3898275</v>
      </c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  <c r="AV1099" s="2"/>
      <c r="AW1099" s="2"/>
      <c r="AX1099" s="2"/>
      <c r="AY1099" s="2"/>
      <c r="AZ1099" s="2"/>
      <c r="BA1099" s="2"/>
      <c r="BB1099" s="2"/>
      <c r="BC1099" s="2"/>
      <c r="BD1099" s="2"/>
      <c r="BE1099" s="2"/>
      <c r="BF1099" s="2"/>
      <c r="BG1099" s="2"/>
      <c r="BH1099" s="2"/>
      <c r="BI1099" s="2"/>
    </row>
    <row r="1100" spans="1:61" s="133" customFormat="1" ht="27.6" customHeight="1" x14ac:dyDescent="0.2">
      <c r="A1100" s="163">
        <v>1085</v>
      </c>
      <c r="B1100" s="58" t="s">
        <v>755</v>
      </c>
      <c r="C1100" s="9" t="s">
        <v>572</v>
      </c>
      <c r="D1100" s="71">
        <v>66182000</v>
      </c>
      <c r="E1100" s="9"/>
      <c r="F1100" s="9"/>
      <c r="G1100" s="62"/>
      <c r="H1100" s="54">
        <v>7.5</v>
      </c>
      <c r="I1100" s="34"/>
      <c r="J1100" s="34"/>
      <c r="K1100" s="34"/>
      <c r="L1100" s="34"/>
      <c r="M1100" s="34">
        <v>0</v>
      </c>
      <c r="N1100" s="34">
        <f t="shared" si="334"/>
        <v>66182000</v>
      </c>
      <c r="O1100" s="34"/>
      <c r="P1100" s="34"/>
      <c r="Q1100" s="34"/>
      <c r="R1100" s="34"/>
      <c r="S1100" s="34">
        <f t="shared" si="336"/>
        <v>66182000</v>
      </c>
      <c r="T1100" s="34">
        <v>0</v>
      </c>
      <c r="U1100" s="34">
        <v>0</v>
      </c>
      <c r="V1100" s="34"/>
      <c r="W1100" s="34"/>
      <c r="X1100" s="34"/>
      <c r="Y1100" s="34"/>
      <c r="Z1100" s="34">
        <v>0</v>
      </c>
      <c r="AA1100" s="34">
        <f>(N1100*7.5%)/365*5</f>
        <v>67995.205479452052</v>
      </c>
      <c r="AB1100" s="8">
        <f t="shared" si="349"/>
        <v>4963650</v>
      </c>
      <c r="AC1100" s="4">
        <f t="shared" si="350"/>
        <v>4963650</v>
      </c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  <c r="AV1100" s="2"/>
      <c r="AW1100" s="2"/>
      <c r="AX1100" s="2"/>
      <c r="AY1100" s="2"/>
      <c r="AZ1100" s="2"/>
      <c r="BA1100" s="2"/>
      <c r="BB1100" s="2"/>
      <c r="BC1100" s="2"/>
      <c r="BD1100" s="2"/>
      <c r="BE1100" s="2"/>
      <c r="BF1100" s="2"/>
      <c r="BG1100" s="2"/>
      <c r="BH1100" s="2"/>
      <c r="BI1100" s="2"/>
    </row>
    <row r="1101" spans="1:61" s="133" customFormat="1" ht="27.6" customHeight="1" x14ac:dyDescent="0.2">
      <c r="A1101" s="163">
        <v>1086</v>
      </c>
      <c r="B1101" s="58" t="s">
        <v>755</v>
      </c>
      <c r="C1101" s="9" t="s">
        <v>572</v>
      </c>
      <c r="D1101" s="71">
        <v>36044000</v>
      </c>
      <c r="E1101" s="9"/>
      <c r="F1101" s="9"/>
      <c r="G1101" s="62"/>
      <c r="H1101" s="54">
        <v>7.5</v>
      </c>
      <c r="I1101" s="34"/>
      <c r="J1101" s="34"/>
      <c r="K1101" s="34"/>
      <c r="L1101" s="34"/>
      <c r="M1101" s="34">
        <v>0</v>
      </c>
      <c r="N1101" s="34">
        <f t="shared" si="334"/>
        <v>36044000</v>
      </c>
      <c r="O1101" s="34"/>
      <c r="P1101" s="34"/>
      <c r="Q1101" s="34"/>
      <c r="R1101" s="34"/>
      <c r="S1101" s="34">
        <f t="shared" si="336"/>
        <v>36044000</v>
      </c>
      <c r="T1101" s="34">
        <v>0</v>
      </c>
      <c r="U1101" s="34">
        <v>0</v>
      </c>
      <c r="V1101" s="34"/>
      <c r="W1101" s="34"/>
      <c r="X1101" s="34"/>
      <c r="Y1101" s="34"/>
      <c r="Z1101" s="34">
        <v>0</v>
      </c>
      <c r="AA1101" s="34">
        <f t="shared" ref="AA1101:AA1105" si="354">(N1101*7.5%)/365*5</f>
        <v>37031.506849315068</v>
      </c>
      <c r="AB1101" s="8">
        <f t="shared" si="349"/>
        <v>2703300</v>
      </c>
      <c r="AC1101" s="4">
        <f t="shared" si="350"/>
        <v>2703300</v>
      </c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  <c r="AV1101" s="2"/>
      <c r="AW1101" s="2"/>
      <c r="AX1101" s="2"/>
      <c r="AY1101" s="2"/>
      <c r="AZ1101" s="2"/>
      <c r="BA1101" s="2"/>
      <c r="BB1101" s="2"/>
      <c r="BC1101" s="2"/>
      <c r="BD1101" s="2"/>
      <c r="BE1101" s="2"/>
      <c r="BF1101" s="2"/>
      <c r="BG1101" s="2"/>
      <c r="BH1101" s="2"/>
      <c r="BI1101" s="2"/>
    </row>
    <row r="1102" spans="1:61" s="133" customFormat="1" ht="27.6" customHeight="1" x14ac:dyDescent="0.2">
      <c r="A1102" s="163">
        <v>1087</v>
      </c>
      <c r="B1102" s="58" t="s">
        <v>755</v>
      </c>
      <c r="C1102" s="9" t="s">
        <v>572</v>
      </c>
      <c r="D1102" s="71">
        <v>3012000</v>
      </c>
      <c r="E1102" s="9"/>
      <c r="F1102" s="9"/>
      <c r="G1102" s="62"/>
      <c r="H1102" s="54">
        <v>7.5</v>
      </c>
      <c r="I1102" s="34"/>
      <c r="J1102" s="34"/>
      <c r="K1102" s="34"/>
      <c r="L1102" s="34"/>
      <c r="M1102" s="34">
        <v>0</v>
      </c>
      <c r="N1102" s="34">
        <f t="shared" si="334"/>
        <v>3012000</v>
      </c>
      <c r="O1102" s="34"/>
      <c r="P1102" s="34"/>
      <c r="Q1102" s="34"/>
      <c r="R1102" s="34"/>
      <c r="S1102" s="34">
        <f t="shared" si="336"/>
        <v>3012000</v>
      </c>
      <c r="T1102" s="34">
        <v>0</v>
      </c>
      <c r="U1102" s="34">
        <v>0</v>
      </c>
      <c r="V1102" s="34"/>
      <c r="W1102" s="34"/>
      <c r="X1102" s="34"/>
      <c r="Y1102" s="34"/>
      <c r="Z1102" s="34">
        <v>0</v>
      </c>
      <c r="AA1102" s="34">
        <f t="shared" si="354"/>
        <v>3094.5205479452056</v>
      </c>
      <c r="AB1102" s="8">
        <f t="shared" si="349"/>
        <v>225900</v>
      </c>
      <c r="AC1102" s="4">
        <f t="shared" si="350"/>
        <v>225900</v>
      </c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  <c r="AV1102" s="2"/>
      <c r="AW1102" s="2"/>
      <c r="AX1102" s="2"/>
      <c r="AY1102" s="2"/>
      <c r="AZ1102" s="2"/>
      <c r="BA1102" s="2"/>
      <c r="BB1102" s="2"/>
      <c r="BC1102" s="2"/>
      <c r="BD1102" s="2"/>
      <c r="BE1102" s="2"/>
      <c r="BF1102" s="2"/>
      <c r="BG1102" s="2"/>
      <c r="BH1102" s="2"/>
      <c r="BI1102" s="2"/>
    </row>
    <row r="1103" spans="1:61" s="133" customFormat="1" ht="27.6" customHeight="1" x14ac:dyDescent="0.2">
      <c r="A1103" s="163">
        <v>1088</v>
      </c>
      <c r="B1103" s="58" t="s">
        <v>755</v>
      </c>
      <c r="C1103" s="9" t="s">
        <v>572</v>
      </c>
      <c r="D1103" s="71">
        <v>2023000</v>
      </c>
      <c r="E1103" s="9"/>
      <c r="F1103" s="9"/>
      <c r="G1103" s="62"/>
      <c r="H1103" s="54">
        <v>7.5</v>
      </c>
      <c r="I1103" s="34"/>
      <c r="J1103" s="34"/>
      <c r="K1103" s="34"/>
      <c r="L1103" s="34"/>
      <c r="M1103" s="34">
        <v>0</v>
      </c>
      <c r="N1103" s="34">
        <f t="shared" si="334"/>
        <v>2023000</v>
      </c>
      <c r="O1103" s="34"/>
      <c r="P1103" s="34"/>
      <c r="Q1103" s="34"/>
      <c r="R1103" s="34"/>
      <c r="S1103" s="34">
        <f t="shared" si="336"/>
        <v>2023000</v>
      </c>
      <c r="T1103" s="34">
        <v>0</v>
      </c>
      <c r="U1103" s="34">
        <v>0</v>
      </c>
      <c r="V1103" s="34"/>
      <c r="W1103" s="34"/>
      <c r="X1103" s="34"/>
      <c r="Y1103" s="34"/>
      <c r="Z1103" s="34">
        <v>0</v>
      </c>
      <c r="AA1103" s="34">
        <f t="shared" si="354"/>
        <v>2078.4246575342463</v>
      </c>
      <c r="AB1103" s="8">
        <f t="shared" si="349"/>
        <v>151725</v>
      </c>
      <c r="AC1103" s="4">
        <f t="shared" si="350"/>
        <v>151725</v>
      </c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  <c r="AV1103" s="2"/>
      <c r="AW1103" s="2"/>
      <c r="AX1103" s="2"/>
      <c r="AY1103" s="2"/>
      <c r="AZ1103" s="2"/>
      <c r="BA1103" s="2"/>
      <c r="BB1103" s="2"/>
      <c r="BC1103" s="2"/>
      <c r="BD1103" s="2"/>
      <c r="BE1103" s="2"/>
      <c r="BF1103" s="2"/>
      <c r="BG1103" s="2"/>
      <c r="BH1103" s="2"/>
      <c r="BI1103" s="2"/>
    </row>
    <row r="1104" spans="1:61" s="133" customFormat="1" ht="27.6" customHeight="1" x14ac:dyDescent="0.2">
      <c r="A1104" s="163">
        <v>1089</v>
      </c>
      <c r="B1104" s="58" t="s">
        <v>755</v>
      </c>
      <c r="C1104" s="9" t="s">
        <v>572</v>
      </c>
      <c r="D1104" s="71">
        <v>22086000</v>
      </c>
      <c r="E1104" s="9"/>
      <c r="F1104" s="9"/>
      <c r="G1104" s="62"/>
      <c r="H1104" s="54">
        <v>7.5</v>
      </c>
      <c r="I1104" s="34"/>
      <c r="J1104" s="34"/>
      <c r="K1104" s="34"/>
      <c r="L1104" s="34"/>
      <c r="M1104" s="34">
        <v>0</v>
      </c>
      <c r="N1104" s="34">
        <f t="shared" si="334"/>
        <v>22086000</v>
      </c>
      <c r="O1104" s="34"/>
      <c r="P1104" s="34"/>
      <c r="Q1104" s="34"/>
      <c r="R1104" s="34"/>
      <c r="S1104" s="34">
        <f t="shared" si="336"/>
        <v>22086000</v>
      </c>
      <c r="T1104" s="34">
        <v>0</v>
      </c>
      <c r="U1104" s="34">
        <v>0</v>
      </c>
      <c r="V1104" s="34"/>
      <c r="W1104" s="34"/>
      <c r="X1104" s="34"/>
      <c r="Y1104" s="34"/>
      <c r="Z1104" s="34">
        <v>0</v>
      </c>
      <c r="AA1104" s="34">
        <f t="shared" si="354"/>
        <v>22691.095890410961</v>
      </c>
      <c r="AB1104" s="8">
        <f t="shared" si="349"/>
        <v>1656450</v>
      </c>
      <c r="AC1104" s="4">
        <f t="shared" si="350"/>
        <v>1656450</v>
      </c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  <c r="AV1104" s="2"/>
      <c r="AW1104" s="2"/>
      <c r="AX1104" s="2"/>
      <c r="AY1104" s="2"/>
      <c r="AZ1104" s="2"/>
      <c r="BA1104" s="2"/>
      <c r="BB1104" s="2"/>
      <c r="BC1104" s="2"/>
      <c r="BD1104" s="2"/>
      <c r="BE1104" s="2"/>
      <c r="BF1104" s="2"/>
      <c r="BG1104" s="2"/>
      <c r="BH1104" s="2"/>
      <c r="BI1104" s="2"/>
    </row>
    <row r="1105" spans="1:61" s="133" customFormat="1" ht="27.6" customHeight="1" x14ac:dyDescent="0.2">
      <c r="A1105" s="163">
        <v>1090</v>
      </c>
      <c r="B1105" s="58" t="s">
        <v>755</v>
      </c>
      <c r="C1105" s="9" t="s">
        <v>572</v>
      </c>
      <c r="D1105" s="71">
        <v>13182000</v>
      </c>
      <c r="E1105" s="9"/>
      <c r="F1105" s="9"/>
      <c r="G1105" s="62"/>
      <c r="H1105" s="54">
        <v>7.5</v>
      </c>
      <c r="I1105" s="34"/>
      <c r="J1105" s="34"/>
      <c r="K1105" s="34"/>
      <c r="L1105" s="34"/>
      <c r="M1105" s="34">
        <v>0</v>
      </c>
      <c r="N1105" s="34">
        <f t="shared" si="334"/>
        <v>13182000</v>
      </c>
      <c r="O1105" s="34"/>
      <c r="P1105" s="34"/>
      <c r="Q1105" s="34"/>
      <c r="R1105" s="34"/>
      <c r="S1105" s="34">
        <f t="shared" si="336"/>
        <v>13182000</v>
      </c>
      <c r="T1105" s="34">
        <v>0</v>
      </c>
      <c r="U1105" s="34">
        <v>0</v>
      </c>
      <c r="V1105" s="34"/>
      <c r="W1105" s="34"/>
      <c r="X1105" s="34"/>
      <c r="Y1105" s="34"/>
      <c r="Z1105" s="34">
        <v>0</v>
      </c>
      <c r="AA1105" s="34">
        <f t="shared" si="354"/>
        <v>13543.150684931506</v>
      </c>
      <c r="AB1105" s="8">
        <f t="shared" si="349"/>
        <v>988650</v>
      </c>
      <c r="AC1105" s="4">
        <f t="shared" si="350"/>
        <v>988650</v>
      </c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  <c r="AV1105" s="2"/>
      <c r="AW1105" s="2"/>
      <c r="AX1105" s="2"/>
      <c r="AY1105" s="2"/>
      <c r="AZ1105" s="2"/>
      <c r="BA1105" s="2"/>
      <c r="BB1105" s="2"/>
      <c r="BC1105" s="2"/>
      <c r="BD1105" s="2"/>
      <c r="BE1105" s="2"/>
      <c r="BF1105" s="2"/>
      <c r="BG1105" s="2"/>
      <c r="BH1105" s="2"/>
      <c r="BI1105" s="2"/>
    </row>
    <row r="1106" spans="1:61" s="133" customFormat="1" ht="27.6" customHeight="1" x14ac:dyDescent="0.2">
      <c r="A1106" s="163">
        <v>1091</v>
      </c>
      <c r="B1106" s="58" t="s">
        <v>757</v>
      </c>
      <c r="C1106" s="9" t="s">
        <v>572</v>
      </c>
      <c r="D1106" s="71">
        <v>42272000</v>
      </c>
      <c r="E1106" s="9"/>
      <c r="F1106" s="9"/>
      <c r="G1106" s="62"/>
      <c r="H1106" s="54">
        <v>7.5</v>
      </c>
      <c r="I1106" s="34"/>
      <c r="J1106" s="34"/>
      <c r="K1106" s="34"/>
      <c r="L1106" s="34"/>
      <c r="M1106" s="34">
        <v>0</v>
      </c>
      <c r="N1106" s="34">
        <v>0</v>
      </c>
      <c r="O1106" s="34"/>
      <c r="P1106" s="34"/>
      <c r="Q1106" s="34"/>
      <c r="R1106" s="34"/>
      <c r="S1106" s="34">
        <f>D1106</f>
        <v>42272000</v>
      </c>
      <c r="T1106" s="34">
        <v>0</v>
      </c>
      <c r="U1106" s="34">
        <v>0</v>
      </c>
      <c r="V1106" s="34"/>
      <c r="W1106" s="34"/>
      <c r="X1106" s="34"/>
      <c r="Y1106" s="34"/>
      <c r="Z1106" s="34">
        <v>0</v>
      </c>
      <c r="AA1106" s="34">
        <v>0</v>
      </c>
      <c r="AB1106" s="8">
        <f>(S1106*7.5%)/365*273</f>
        <v>2371285.4794520545</v>
      </c>
      <c r="AC1106" s="4">
        <f t="shared" si="350"/>
        <v>3170400</v>
      </c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  <c r="AV1106" s="2"/>
      <c r="AW1106" s="2"/>
      <c r="AX1106" s="2"/>
      <c r="AY1106" s="2"/>
      <c r="AZ1106" s="2"/>
      <c r="BA1106" s="2"/>
      <c r="BB1106" s="2"/>
      <c r="BC1106" s="2"/>
      <c r="BD1106" s="2"/>
      <c r="BE1106" s="2"/>
      <c r="BF1106" s="2"/>
      <c r="BG1106" s="2"/>
      <c r="BH1106" s="2"/>
      <c r="BI1106" s="2"/>
    </row>
    <row r="1107" spans="1:61" s="133" customFormat="1" ht="27.6" customHeight="1" x14ac:dyDescent="0.2">
      <c r="A1107" s="163">
        <v>1092</v>
      </c>
      <c r="B1107" s="58" t="s">
        <v>757</v>
      </c>
      <c r="C1107" s="9" t="s">
        <v>572</v>
      </c>
      <c r="D1107" s="71">
        <v>70239000</v>
      </c>
      <c r="E1107" s="9"/>
      <c r="F1107" s="9"/>
      <c r="G1107" s="62"/>
      <c r="H1107" s="54">
        <v>7.5</v>
      </c>
      <c r="I1107" s="34"/>
      <c r="J1107" s="34"/>
      <c r="K1107" s="34"/>
      <c r="L1107" s="34"/>
      <c r="M1107" s="34">
        <v>0</v>
      </c>
      <c r="N1107" s="34">
        <v>0</v>
      </c>
      <c r="O1107" s="34"/>
      <c r="P1107" s="34"/>
      <c r="Q1107" s="34"/>
      <c r="R1107" s="34"/>
      <c r="S1107" s="34">
        <f t="shared" ref="S1107:S1167" si="355">D1107</f>
        <v>70239000</v>
      </c>
      <c r="T1107" s="34">
        <v>0</v>
      </c>
      <c r="U1107" s="34">
        <v>0</v>
      </c>
      <c r="V1107" s="34"/>
      <c r="W1107" s="34"/>
      <c r="X1107" s="34"/>
      <c r="Y1107" s="34"/>
      <c r="Z1107" s="34">
        <v>0</v>
      </c>
      <c r="AA1107" s="34">
        <v>0</v>
      </c>
      <c r="AB1107" s="8">
        <f t="shared" ref="AB1107:AB1110" si="356">(S1107*7.5%)/365*273</f>
        <v>3940119.2465753425</v>
      </c>
      <c r="AC1107" s="4">
        <f t="shared" si="350"/>
        <v>5267925</v>
      </c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  <c r="AV1107" s="2"/>
      <c r="AW1107" s="2"/>
      <c r="AX1107" s="2"/>
      <c r="AY1107" s="2"/>
      <c r="AZ1107" s="2"/>
      <c r="BA1107" s="2"/>
      <c r="BB1107" s="2"/>
      <c r="BC1107" s="2"/>
      <c r="BD1107" s="2"/>
      <c r="BE1107" s="2"/>
      <c r="BF1107" s="2"/>
      <c r="BG1107" s="2"/>
      <c r="BH1107" s="2"/>
      <c r="BI1107" s="2"/>
    </row>
    <row r="1108" spans="1:61" s="133" customFormat="1" ht="27.6" customHeight="1" x14ac:dyDescent="0.2">
      <c r="A1108" s="163">
        <v>1093</v>
      </c>
      <c r="B1108" s="58" t="s">
        <v>757</v>
      </c>
      <c r="C1108" s="9" t="s">
        <v>572</v>
      </c>
      <c r="D1108" s="71">
        <v>17126000</v>
      </c>
      <c r="E1108" s="9"/>
      <c r="F1108" s="9"/>
      <c r="G1108" s="62"/>
      <c r="H1108" s="54">
        <v>7.5</v>
      </c>
      <c r="I1108" s="34"/>
      <c r="J1108" s="34"/>
      <c r="K1108" s="34"/>
      <c r="L1108" s="34"/>
      <c r="M1108" s="34">
        <v>0</v>
      </c>
      <c r="N1108" s="34">
        <v>0</v>
      </c>
      <c r="O1108" s="34"/>
      <c r="P1108" s="34"/>
      <c r="Q1108" s="34"/>
      <c r="R1108" s="34"/>
      <c r="S1108" s="34">
        <f t="shared" si="355"/>
        <v>17126000</v>
      </c>
      <c r="T1108" s="34">
        <v>0</v>
      </c>
      <c r="U1108" s="34">
        <v>0</v>
      </c>
      <c r="V1108" s="34"/>
      <c r="W1108" s="34"/>
      <c r="X1108" s="34"/>
      <c r="Y1108" s="34"/>
      <c r="Z1108" s="34">
        <v>0</v>
      </c>
      <c r="AA1108" s="34">
        <v>0</v>
      </c>
      <c r="AB1108" s="8">
        <f t="shared" si="356"/>
        <v>960698.21917808219</v>
      </c>
      <c r="AC1108" s="4">
        <f t="shared" si="350"/>
        <v>1284450</v>
      </c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</row>
    <row r="1109" spans="1:61" s="133" customFormat="1" ht="27.6" customHeight="1" x14ac:dyDescent="0.2">
      <c r="A1109" s="163">
        <v>1094</v>
      </c>
      <c r="B1109" s="58" t="s">
        <v>757</v>
      </c>
      <c r="C1109" s="9" t="s">
        <v>572</v>
      </c>
      <c r="D1109" s="71">
        <v>153726000</v>
      </c>
      <c r="E1109" s="9"/>
      <c r="F1109" s="9"/>
      <c r="G1109" s="62"/>
      <c r="H1109" s="54">
        <v>7.5</v>
      </c>
      <c r="I1109" s="34"/>
      <c r="J1109" s="34"/>
      <c r="K1109" s="34"/>
      <c r="L1109" s="34"/>
      <c r="M1109" s="34">
        <v>0</v>
      </c>
      <c r="N1109" s="34">
        <v>0</v>
      </c>
      <c r="O1109" s="34"/>
      <c r="P1109" s="34"/>
      <c r="Q1109" s="34"/>
      <c r="R1109" s="34"/>
      <c r="S1109" s="34">
        <f t="shared" si="355"/>
        <v>153726000</v>
      </c>
      <c r="T1109" s="34">
        <v>0</v>
      </c>
      <c r="U1109" s="34">
        <v>0</v>
      </c>
      <c r="V1109" s="34"/>
      <c r="W1109" s="34"/>
      <c r="X1109" s="34"/>
      <c r="Y1109" s="34"/>
      <c r="Z1109" s="34">
        <v>0</v>
      </c>
      <c r="AA1109" s="34">
        <v>0</v>
      </c>
      <c r="AB1109" s="8">
        <f t="shared" si="356"/>
        <v>8623396.8493150678</v>
      </c>
      <c r="AC1109" s="4">
        <f t="shared" si="350"/>
        <v>11529450</v>
      </c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</row>
    <row r="1110" spans="1:61" s="133" customFormat="1" ht="27.6" customHeight="1" x14ac:dyDescent="0.2">
      <c r="A1110" s="163">
        <v>1095</v>
      </c>
      <c r="B1110" s="58" t="s">
        <v>757</v>
      </c>
      <c r="C1110" s="9" t="s">
        <v>572</v>
      </c>
      <c r="D1110" s="71">
        <v>14960000</v>
      </c>
      <c r="E1110" s="9"/>
      <c r="F1110" s="9"/>
      <c r="G1110" s="62"/>
      <c r="H1110" s="54">
        <v>7.5</v>
      </c>
      <c r="I1110" s="34"/>
      <c r="J1110" s="34"/>
      <c r="K1110" s="34"/>
      <c r="L1110" s="34"/>
      <c r="M1110" s="34">
        <v>0</v>
      </c>
      <c r="N1110" s="34">
        <v>0</v>
      </c>
      <c r="O1110" s="34"/>
      <c r="P1110" s="34"/>
      <c r="Q1110" s="34"/>
      <c r="R1110" s="34"/>
      <c r="S1110" s="34">
        <f t="shared" si="355"/>
        <v>14960000</v>
      </c>
      <c r="T1110" s="34">
        <v>0</v>
      </c>
      <c r="U1110" s="34">
        <v>0</v>
      </c>
      <c r="V1110" s="34"/>
      <c r="W1110" s="34"/>
      <c r="X1110" s="34"/>
      <c r="Y1110" s="34"/>
      <c r="Z1110" s="34">
        <v>0</v>
      </c>
      <c r="AA1110" s="34">
        <v>0</v>
      </c>
      <c r="AB1110" s="8">
        <f t="shared" si="356"/>
        <v>839194.52054794517</v>
      </c>
      <c r="AC1110" s="4">
        <f t="shared" si="350"/>
        <v>1122000</v>
      </c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  <c r="AZ1110" s="2"/>
      <c r="BA1110" s="2"/>
      <c r="BB1110" s="2"/>
      <c r="BC1110" s="2"/>
      <c r="BD1110" s="2"/>
      <c r="BE1110" s="2"/>
      <c r="BF1110" s="2"/>
      <c r="BG1110" s="2"/>
      <c r="BH1110" s="2"/>
      <c r="BI1110" s="2"/>
    </row>
    <row r="1111" spans="1:61" s="133" customFormat="1" ht="27.6" customHeight="1" x14ac:dyDescent="0.2">
      <c r="A1111" s="163">
        <v>1096</v>
      </c>
      <c r="B1111" s="58" t="s">
        <v>758</v>
      </c>
      <c r="C1111" s="9" t="s">
        <v>572</v>
      </c>
      <c r="D1111" s="71">
        <v>8316000</v>
      </c>
      <c r="E1111" s="9"/>
      <c r="F1111" s="9"/>
      <c r="G1111" s="62"/>
      <c r="H1111" s="54">
        <v>7.5</v>
      </c>
      <c r="I1111" s="34"/>
      <c r="J1111" s="34"/>
      <c r="K1111" s="34"/>
      <c r="L1111" s="34"/>
      <c r="M1111" s="34">
        <v>0</v>
      </c>
      <c r="N1111" s="34">
        <v>0</v>
      </c>
      <c r="O1111" s="34"/>
      <c r="P1111" s="34"/>
      <c r="Q1111" s="34"/>
      <c r="R1111" s="34"/>
      <c r="S1111" s="34">
        <f t="shared" si="355"/>
        <v>8316000</v>
      </c>
      <c r="T1111" s="34">
        <v>0</v>
      </c>
      <c r="U1111" s="34">
        <v>0</v>
      </c>
      <c r="V1111" s="34"/>
      <c r="W1111" s="34"/>
      <c r="X1111" s="34"/>
      <c r="Y1111" s="34"/>
      <c r="Z1111" s="34">
        <v>0</v>
      </c>
      <c r="AA1111" s="34">
        <v>0</v>
      </c>
      <c r="AB1111" s="8">
        <f>(S1111*7.5%)/365*272</f>
        <v>464784.65753424657</v>
      </c>
      <c r="AC1111" s="4">
        <f t="shared" si="350"/>
        <v>623700</v>
      </c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</row>
    <row r="1112" spans="1:61" s="133" customFormat="1" ht="27.6" customHeight="1" x14ac:dyDescent="0.2">
      <c r="A1112" s="163">
        <v>1097</v>
      </c>
      <c r="B1112" s="58" t="s">
        <v>758</v>
      </c>
      <c r="C1112" s="9" t="s">
        <v>572</v>
      </c>
      <c r="D1112" s="71">
        <v>7010000</v>
      </c>
      <c r="E1112" s="9"/>
      <c r="F1112" s="9"/>
      <c r="G1112" s="62"/>
      <c r="H1112" s="54">
        <v>7.5</v>
      </c>
      <c r="I1112" s="34"/>
      <c r="J1112" s="34"/>
      <c r="K1112" s="34"/>
      <c r="L1112" s="34"/>
      <c r="M1112" s="34">
        <v>0</v>
      </c>
      <c r="N1112" s="34">
        <v>0</v>
      </c>
      <c r="O1112" s="34"/>
      <c r="P1112" s="34"/>
      <c r="Q1112" s="34"/>
      <c r="R1112" s="34"/>
      <c r="S1112" s="34">
        <f t="shared" si="355"/>
        <v>7010000</v>
      </c>
      <c r="T1112" s="34">
        <v>0</v>
      </c>
      <c r="U1112" s="34">
        <v>0</v>
      </c>
      <c r="V1112" s="34"/>
      <c r="W1112" s="34"/>
      <c r="X1112" s="34"/>
      <c r="Y1112" s="34"/>
      <c r="Z1112" s="34">
        <v>0</v>
      </c>
      <c r="AA1112" s="34">
        <v>0</v>
      </c>
      <c r="AB1112" s="8">
        <f t="shared" ref="AB1112:AB1114" si="357">(S1112*7.5%)/365*272</f>
        <v>391791.78082191781</v>
      </c>
      <c r="AC1112" s="4">
        <f t="shared" si="350"/>
        <v>525750</v>
      </c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"/>
      <c r="BE1112" s="2"/>
      <c r="BF1112" s="2"/>
      <c r="BG1112" s="2"/>
      <c r="BH1112" s="2"/>
      <c r="BI1112" s="2"/>
    </row>
    <row r="1113" spans="1:61" s="133" customFormat="1" ht="27.6" customHeight="1" x14ac:dyDescent="0.2">
      <c r="A1113" s="163">
        <v>1098</v>
      </c>
      <c r="B1113" s="58" t="s">
        <v>758</v>
      </c>
      <c r="C1113" s="9" t="s">
        <v>572</v>
      </c>
      <c r="D1113" s="71">
        <v>2892000</v>
      </c>
      <c r="E1113" s="9"/>
      <c r="F1113" s="9"/>
      <c r="G1113" s="62"/>
      <c r="H1113" s="54">
        <v>7.5</v>
      </c>
      <c r="I1113" s="34"/>
      <c r="J1113" s="34"/>
      <c r="K1113" s="34"/>
      <c r="L1113" s="34"/>
      <c r="M1113" s="34">
        <v>0</v>
      </c>
      <c r="N1113" s="34">
        <v>0</v>
      </c>
      <c r="O1113" s="34"/>
      <c r="P1113" s="34"/>
      <c r="Q1113" s="34"/>
      <c r="R1113" s="34"/>
      <c r="S1113" s="34">
        <f t="shared" si="355"/>
        <v>2892000</v>
      </c>
      <c r="T1113" s="34">
        <v>0</v>
      </c>
      <c r="U1113" s="34">
        <v>0</v>
      </c>
      <c r="V1113" s="34"/>
      <c r="W1113" s="34"/>
      <c r="X1113" s="34"/>
      <c r="Y1113" s="34"/>
      <c r="Z1113" s="34">
        <v>0</v>
      </c>
      <c r="AA1113" s="34">
        <v>0</v>
      </c>
      <c r="AB1113" s="8">
        <f t="shared" si="357"/>
        <v>161635.0684931507</v>
      </c>
      <c r="AC1113" s="4">
        <f t="shared" si="350"/>
        <v>216900</v>
      </c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  <c r="AV1113" s="2"/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</row>
    <row r="1114" spans="1:61" s="133" customFormat="1" ht="27.6" customHeight="1" x14ac:dyDescent="0.2">
      <c r="A1114" s="163">
        <v>1099</v>
      </c>
      <c r="B1114" s="58" t="s">
        <v>758</v>
      </c>
      <c r="C1114" s="9" t="s">
        <v>572</v>
      </c>
      <c r="D1114" s="71">
        <v>7173000</v>
      </c>
      <c r="E1114" s="9"/>
      <c r="F1114" s="9"/>
      <c r="G1114" s="62"/>
      <c r="H1114" s="54">
        <v>7.5</v>
      </c>
      <c r="I1114" s="34"/>
      <c r="J1114" s="34"/>
      <c r="K1114" s="34"/>
      <c r="L1114" s="34"/>
      <c r="M1114" s="34">
        <v>0</v>
      </c>
      <c r="N1114" s="34">
        <v>0</v>
      </c>
      <c r="O1114" s="34"/>
      <c r="P1114" s="34"/>
      <c r="Q1114" s="34"/>
      <c r="R1114" s="34"/>
      <c r="S1114" s="34">
        <f t="shared" si="355"/>
        <v>7173000</v>
      </c>
      <c r="T1114" s="34">
        <v>0</v>
      </c>
      <c r="U1114" s="34">
        <v>0</v>
      </c>
      <c r="V1114" s="34"/>
      <c r="W1114" s="34"/>
      <c r="X1114" s="34"/>
      <c r="Y1114" s="34"/>
      <c r="Z1114" s="34">
        <v>0</v>
      </c>
      <c r="AA1114" s="34">
        <v>0</v>
      </c>
      <c r="AB1114" s="8">
        <f t="shared" si="357"/>
        <v>400901.91780821921</v>
      </c>
      <c r="AC1114" s="4">
        <f t="shared" si="350"/>
        <v>537975</v>
      </c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</row>
    <row r="1115" spans="1:61" s="133" customFormat="1" ht="27.6" customHeight="1" x14ac:dyDescent="0.2">
      <c r="A1115" s="163">
        <v>1100</v>
      </c>
      <c r="B1115" s="58" t="s">
        <v>759</v>
      </c>
      <c r="C1115" s="9" t="s">
        <v>572</v>
      </c>
      <c r="D1115" s="71">
        <v>637278000</v>
      </c>
      <c r="E1115" s="9"/>
      <c r="F1115" s="9"/>
      <c r="G1115" s="62"/>
      <c r="H1115" s="54">
        <v>7.5</v>
      </c>
      <c r="I1115" s="34"/>
      <c r="J1115" s="34"/>
      <c r="K1115" s="34"/>
      <c r="L1115" s="34"/>
      <c r="M1115" s="34">
        <v>0</v>
      </c>
      <c r="N1115" s="34">
        <v>0</v>
      </c>
      <c r="O1115" s="34"/>
      <c r="P1115" s="34"/>
      <c r="Q1115" s="34"/>
      <c r="R1115" s="34"/>
      <c r="S1115" s="34">
        <f t="shared" si="355"/>
        <v>637278000</v>
      </c>
      <c r="T1115" s="34">
        <v>0</v>
      </c>
      <c r="U1115" s="34">
        <v>0</v>
      </c>
      <c r="V1115" s="34"/>
      <c r="W1115" s="34"/>
      <c r="X1115" s="34"/>
      <c r="Y1115" s="34"/>
      <c r="Z1115" s="34">
        <v>0</v>
      </c>
      <c r="AA1115" s="34">
        <v>0</v>
      </c>
      <c r="AB1115" s="8">
        <f>(S1115*7.5%)/365*268</f>
        <v>35093939.17808219</v>
      </c>
      <c r="AC1115" s="4">
        <f t="shared" si="350"/>
        <v>47795850</v>
      </c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</row>
    <row r="1116" spans="1:61" s="133" customFormat="1" ht="27.6" customHeight="1" x14ac:dyDescent="0.2">
      <c r="A1116" s="163">
        <v>1101</v>
      </c>
      <c r="B1116" s="58" t="s">
        <v>761</v>
      </c>
      <c r="C1116" s="9" t="s">
        <v>572</v>
      </c>
      <c r="D1116" s="71">
        <v>41188000</v>
      </c>
      <c r="E1116" s="9"/>
      <c r="F1116" s="9"/>
      <c r="G1116" s="62"/>
      <c r="H1116" s="54">
        <v>7.5</v>
      </c>
      <c r="I1116" s="34"/>
      <c r="J1116" s="34"/>
      <c r="K1116" s="34"/>
      <c r="L1116" s="34"/>
      <c r="M1116" s="34">
        <v>0</v>
      </c>
      <c r="N1116" s="34">
        <v>0</v>
      </c>
      <c r="O1116" s="34"/>
      <c r="P1116" s="34"/>
      <c r="Q1116" s="34"/>
      <c r="R1116" s="34"/>
      <c r="S1116" s="34">
        <f t="shared" si="355"/>
        <v>41188000</v>
      </c>
      <c r="T1116" s="34">
        <v>0</v>
      </c>
      <c r="U1116" s="34">
        <v>0</v>
      </c>
      <c r="V1116" s="34"/>
      <c r="W1116" s="34"/>
      <c r="X1116" s="34"/>
      <c r="Y1116" s="34"/>
      <c r="Z1116" s="34">
        <v>0</v>
      </c>
      <c r="AA1116" s="34">
        <v>0</v>
      </c>
      <c r="AB1116" s="8">
        <f>(S1116*7.5%)/365*254</f>
        <v>2149675.0684931506</v>
      </c>
      <c r="AC1116" s="4">
        <f t="shared" si="350"/>
        <v>3089100</v>
      </c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</row>
    <row r="1117" spans="1:61" s="133" customFormat="1" ht="27.6" customHeight="1" x14ac:dyDescent="0.2">
      <c r="A1117" s="163">
        <v>1102</v>
      </c>
      <c r="B1117" s="58" t="s">
        <v>761</v>
      </c>
      <c r="C1117" s="9" t="s">
        <v>572</v>
      </c>
      <c r="D1117" s="71">
        <v>27858000</v>
      </c>
      <c r="E1117" s="9"/>
      <c r="F1117" s="9"/>
      <c r="G1117" s="62"/>
      <c r="H1117" s="54">
        <v>7.5</v>
      </c>
      <c r="I1117" s="34"/>
      <c r="J1117" s="34"/>
      <c r="K1117" s="34"/>
      <c r="L1117" s="34"/>
      <c r="M1117" s="34">
        <v>0</v>
      </c>
      <c r="N1117" s="34">
        <v>0</v>
      </c>
      <c r="O1117" s="34"/>
      <c r="P1117" s="34"/>
      <c r="Q1117" s="34"/>
      <c r="R1117" s="34"/>
      <c r="S1117" s="34">
        <f t="shared" si="355"/>
        <v>27858000</v>
      </c>
      <c r="T1117" s="34">
        <v>0</v>
      </c>
      <c r="U1117" s="34">
        <v>0</v>
      </c>
      <c r="V1117" s="34"/>
      <c r="W1117" s="34"/>
      <c r="X1117" s="34"/>
      <c r="Y1117" s="34"/>
      <c r="Z1117" s="34">
        <v>0</v>
      </c>
      <c r="AA1117" s="34">
        <v>0</v>
      </c>
      <c r="AB1117" s="8">
        <f t="shared" ref="AB1117" si="358">(S1117*7.5%)/365*254</f>
        <v>1453958.6301369863</v>
      </c>
      <c r="AC1117" s="4">
        <f t="shared" si="350"/>
        <v>2089350</v>
      </c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</row>
    <row r="1118" spans="1:61" s="133" customFormat="1" ht="27.6" customHeight="1" x14ac:dyDescent="0.2">
      <c r="A1118" s="163">
        <v>1103</v>
      </c>
      <c r="B1118" s="58" t="s">
        <v>762</v>
      </c>
      <c r="C1118" s="9" t="s">
        <v>572</v>
      </c>
      <c r="D1118" s="71">
        <v>13936000</v>
      </c>
      <c r="E1118" s="9"/>
      <c r="F1118" s="9"/>
      <c r="G1118" s="62"/>
      <c r="H1118" s="54">
        <v>7.5</v>
      </c>
      <c r="I1118" s="34"/>
      <c r="J1118" s="34"/>
      <c r="K1118" s="34"/>
      <c r="L1118" s="34"/>
      <c r="M1118" s="34">
        <v>0</v>
      </c>
      <c r="N1118" s="34">
        <v>0</v>
      </c>
      <c r="O1118" s="34"/>
      <c r="P1118" s="34"/>
      <c r="Q1118" s="34"/>
      <c r="R1118" s="34"/>
      <c r="S1118" s="34">
        <f t="shared" si="355"/>
        <v>13936000</v>
      </c>
      <c r="T1118" s="34">
        <v>0</v>
      </c>
      <c r="U1118" s="34">
        <v>0</v>
      </c>
      <c r="V1118" s="34"/>
      <c r="W1118" s="34"/>
      <c r="X1118" s="34"/>
      <c r="Y1118" s="34"/>
      <c r="Z1118" s="34">
        <v>0</v>
      </c>
      <c r="AA1118" s="34">
        <v>0</v>
      </c>
      <c r="AB1118" s="8">
        <f>(S1118*7.5%)/365*253</f>
        <v>724481.09589041094</v>
      </c>
      <c r="AC1118" s="4">
        <f t="shared" si="350"/>
        <v>1045200</v>
      </c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  <c r="AV1118" s="2"/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</row>
    <row r="1119" spans="1:61" s="133" customFormat="1" ht="27.6" customHeight="1" x14ac:dyDescent="0.2">
      <c r="A1119" s="163">
        <v>1104</v>
      </c>
      <c r="B1119" s="58" t="s">
        <v>762</v>
      </c>
      <c r="C1119" s="9" t="s">
        <v>572</v>
      </c>
      <c r="D1119" s="71">
        <v>6660000</v>
      </c>
      <c r="E1119" s="9"/>
      <c r="F1119" s="9"/>
      <c r="G1119" s="62"/>
      <c r="H1119" s="54">
        <v>7.5</v>
      </c>
      <c r="I1119" s="34"/>
      <c r="J1119" s="34"/>
      <c r="K1119" s="34"/>
      <c r="L1119" s="34"/>
      <c r="M1119" s="34">
        <v>0</v>
      </c>
      <c r="N1119" s="34">
        <v>0</v>
      </c>
      <c r="O1119" s="34"/>
      <c r="P1119" s="34"/>
      <c r="Q1119" s="34"/>
      <c r="R1119" s="34"/>
      <c r="S1119" s="34">
        <f t="shared" si="355"/>
        <v>6660000</v>
      </c>
      <c r="T1119" s="34">
        <v>0</v>
      </c>
      <c r="U1119" s="34">
        <v>0</v>
      </c>
      <c r="V1119" s="34"/>
      <c r="W1119" s="34"/>
      <c r="X1119" s="34"/>
      <c r="Y1119" s="34"/>
      <c r="Z1119" s="34">
        <v>0</v>
      </c>
      <c r="AA1119" s="34">
        <v>0</v>
      </c>
      <c r="AB1119" s="8">
        <f t="shared" ref="AB1119:AB1122" si="359">(S1119*7.5%)/365*253</f>
        <v>346228.76712328772</v>
      </c>
      <c r="AC1119" s="4">
        <f t="shared" si="350"/>
        <v>499500</v>
      </c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</row>
    <row r="1120" spans="1:61" s="133" customFormat="1" ht="27.6" customHeight="1" x14ac:dyDescent="0.2">
      <c r="A1120" s="163">
        <v>1105</v>
      </c>
      <c r="B1120" s="58" t="s">
        <v>762</v>
      </c>
      <c r="C1120" s="9" t="s">
        <v>572</v>
      </c>
      <c r="D1120" s="71">
        <v>3826000</v>
      </c>
      <c r="E1120" s="9"/>
      <c r="F1120" s="9"/>
      <c r="G1120" s="62"/>
      <c r="H1120" s="54">
        <v>7.5</v>
      </c>
      <c r="I1120" s="34"/>
      <c r="J1120" s="34"/>
      <c r="K1120" s="34"/>
      <c r="L1120" s="34"/>
      <c r="M1120" s="34">
        <v>0</v>
      </c>
      <c r="N1120" s="34">
        <v>0</v>
      </c>
      <c r="O1120" s="34"/>
      <c r="P1120" s="34"/>
      <c r="Q1120" s="34"/>
      <c r="R1120" s="34"/>
      <c r="S1120" s="34">
        <f t="shared" si="355"/>
        <v>3826000</v>
      </c>
      <c r="T1120" s="34">
        <v>0</v>
      </c>
      <c r="U1120" s="34">
        <v>0</v>
      </c>
      <c r="V1120" s="34"/>
      <c r="W1120" s="34"/>
      <c r="X1120" s="34"/>
      <c r="Y1120" s="34"/>
      <c r="Z1120" s="34">
        <v>0</v>
      </c>
      <c r="AA1120" s="34">
        <v>0</v>
      </c>
      <c r="AB1120" s="8">
        <f t="shared" si="359"/>
        <v>198899.5890410959</v>
      </c>
      <c r="AC1120" s="4">
        <f t="shared" si="350"/>
        <v>286950</v>
      </c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  <c r="AZ1120" s="2"/>
      <c r="BA1120" s="2"/>
      <c r="BB1120" s="2"/>
      <c r="BC1120" s="2"/>
      <c r="BD1120" s="2"/>
      <c r="BE1120" s="2"/>
      <c r="BF1120" s="2"/>
      <c r="BG1120" s="2"/>
      <c r="BH1120" s="2"/>
      <c r="BI1120" s="2"/>
    </row>
    <row r="1121" spans="1:61" s="133" customFormat="1" ht="27.6" customHeight="1" x14ac:dyDescent="0.2">
      <c r="A1121" s="163">
        <v>1106</v>
      </c>
      <c r="B1121" s="58" t="s">
        <v>762</v>
      </c>
      <c r="C1121" s="9" t="s">
        <v>572</v>
      </c>
      <c r="D1121" s="71">
        <v>17419000</v>
      </c>
      <c r="E1121" s="9"/>
      <c r="F1121" s="9"/>
      <c r="G1121" s="62"/>
      <c r="H1121" s="54">
        <v>7.5</v>
      </c>
      <c r="I1121" s="34"/>
      <c r="J1121" s="34"/>
      <c r="K1121" s="34"/>
      <c r="L1121" s="34"/>
      <c r="M1121" s="34">
        <v>0</v>
      </c>
      <c r="N1121" s="34">
        <v>0</v>
      </c>
      <c r="O1121" s="34"/>
      <c r="P1121" s="34"/>
      <c r="Q1121" s="34"/>
      <c r="R1121" s="34"/>
      <c r="S1121" s="34">
        <f t="shared" si="355"/>
        <v>17419000</v>
      </c>
      <c r="T1121" s="34">
        <v>0</v>
      </c>
      <c r="U1121" s="34">
        <v>0</v>
      </c>
      <c r="V1121" s="34"/>
      <c r="W1121" s="34"/>
      <c r="X1121" s="34"/>
      <c r="Y1121" s="34"/>
      <c r="Z1121" s="34">
        <v>0</v>
      </c>
      <c r="AA1121" s="34">
        <v>0</v>
      </c>
      <c r="AB1121" s="8">
        <f t="shared" si="359"/>
        <v>905549.38356164389</v>
      </c>
      <c r="AC1121" s="4">
        <f t="shared" si="350"/>
        <v>1306425</v>
      </c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</row>
    <row r="1122" spans="1:61" s="133" customFormat="1" ht="27.6" customHeight="1" x14ac:dyDescent="0.2">
      <c r="A1122" s="163">
        <v>1107</v>
      </c>
      <c r="B1122" s="58" t="s">
        <v>762</v>
      </c>
      <c r="C1122" s="9" t="s">
        <v>572</v>
      </c>
      <c r="D1122" s="71">
        <v>24326000</v>
      </c>
      <c r="E1122" s="9"/>
      <c r="F1122" s="9"/>
      <c r="G1122" s="62"/>
      <c r="H1122" s="54">
        <v>7.5</v>
      </c>
      <c r="I1122" s="34"/>
      <c r="J1122" s="34"/>
      <c r="K1122" s="34"/>
      <c r="L1122" s="34"/>
      <c r="M1122" s="34">
        <v>0</v>
      </c>
      <c r="N1122" s="34">
        <v>0</v>
      </c>
      <c r="O1122" s="34"/>
      <c r="P1122" s="34"/>
      <c r="Q1122" s="34"/>
      <c r="R1122" s="34"/>
      <c r="S1122" s="34">
        <f t="shared" si="355"/>
        <v>24326000</v>
      </c>
      <c r="T1122" s="34">
        <v>0</v>
      </c>
      <c r="U1122" s="34">
        <v>0</v>
      </c>
      <c r="V1122" s="34"/>
      <c r="W1122" s="34"/>
      <c r="X1122" s="34"/>
      <c r="Y1122" s="34"/>
      <c r="Z1122" s="34">
        <v>0</v>
      </c>
      <c r="AA1122" s="34">
        <v>0</v>
      </c>
      <c r="AB1122" s="8">
        <f t="shared" si="359"/>
        <v>1264618.7671232878</v>
      </c>
      <c r="AC1122" s="4">
        <f t="shared" si="350"/>
        <v>1824450</v>
      </c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</row>
    <row r="1123" spans="1:61" s="133" customFormat="1" ht="27.6" customHeight="1" x14ac:dyDescent="0.2">
      <c r="A1123" s="163">
        <v>1108</v>
      </c>
      <c r="B1123" s="58" t="s">
        <v>764</v>
      </c>
      <c r="C1123" s="9" t="s">
        <v>572</v>
      </c>
      <c r="D1123" s="71">
        <v>149904000</v>
      </c>
      <c r="E1123" s="9"/>
      <c r="F1123" s="9"/>
      <c r="G1123" s="62"/>
      <c r="H1123" s="54">
        <v>7.5</v>
      </c>
      <c r="I1123" s="34"/>
      <c r="J1123" s="34"/>
      <c r="K1123" s="34"/>
      <c r="L1123" s="34"/>
      <c r="M1123" s="34">
        <v>0</v>
      </c>
      <c r="N1123" s="34">
        <v>0</v>
      </c>
      <c r="O1123" s="34"/>
      <c r="P1123" s="34"/>
      <c r="Q1123" s="34"/>
      <c r="R1123" s="34"/>
      <c r="S1123" s="34">
        <f t="shared" si="355"/>
        <v>149904000</v>
      </c>
      <c r="T1123" s="34">
        <v>0</v>
      </c>
      <c r="U1123" s="34">
        <v>0</v>
      </c>
      <c r="V1123" s="34"/>
      <c r="W1123" s="34"/>
      <c r="X1123" s="34"/>
      <c r="Y1123" s="34"/>
      <c r="Z1123" s="34">
        <v>0</v>
      </c>
      <c r="AA1123" s="34">
        <v>0</v>
      </c>
      <c r="AB1123" s="8">
        <f>(S1123*7.5%)/365*218</f>
        <v>6714877.8082191786</v>
      </c>
      <c r="AC1123" s="4">
        <f t="shared" si="350"/>
        <v>11242800</v>
      </c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  <c r="AV1123" s="2"/>
      <c r="AW1123" s="2"/>
      <c r="AX1123" s="2"/>
      <c r="AY1123" s="2"/>
      <c r="AZ1123" s="2"/>
      <c r="BA1123" s="2"/>
      <c r="BB1123" s="2"/>
      <c r="BC1123" s="2"/>
      <c r="BD1123" s="2"/>
      <c r="BE1123" s="2"/>
      <c r="BF1123" s="2"/>
      <c r="BG1123" s="2"/>
      <c r="BH1123" s="2"/>
      <c r="BI1123" s="2"/>
    </row>
    <row r="1124" spans="1:61" s="133" customFormat="1" ht="27.6" customHeight="1" x14ac:dyDescent="0.2">
      <c r="A1124" s="163">
        <v>1109</v>
      </c>
      <c r="B1124" s="58" t="s">
        <v>765</v>
      </c>
      <c r="C1124" s="9" t="s">
        <v>572</v>
      </c>
      <c r="D1124" s="71">
        <v>7157000</v>
      </c>
      <c r="E1124" s="9"/>
      <c r="F1124" s="9"/>
      <c r="G1124" s="62"/>
      <c r="H1124" s="54">
        <v>7.5</v>
      </c>
      <c r="I1124" s="34"/>
      <c r="J1124" s="34"/>
      <c r="K1124" s="34"/>
      <c r="L1124" s="34"/>
      <c r="M1124" s="34">
        <v>0</v>
      </c>
      <c r="N1124" s="34">
        <v>0</v>
      </c>
      <c r="O1124" s="34"/>
      <c r="P1124" s="34"/>
      <c r="Q1124" s="34"/>
      <c r="R1124" s="34"/>
      <c r="S1124" s="34">
        <f t="shared" si="355"/>
        <v>7157000</v>
      </c>
      <c r="T1124" s="34">
        <v>0</v>
      </c>
      <c r="U1124" s="34">
        <v>0</v>
      </c>
      <c r="V1124" s="34"/>
      <c r="W1124" s="34"/>
      <c r="X1124" s="34"/>
      <c r="Y1124" s="34"/>
      <c r="Z1124" s="34">
        <v>0</v>
      </c>
      <c r="AA1124" s="34">
        <v>0</v>
      </c>
      <c r="AB1124" s="8">
        <f>(S1124*7.5%)/365*217</f>
        <v>319123.76712328766</v>
      </c>
      <c r="AC1124" s="4">
        <f t="shared" si="350"/>
        <v>536775</v>
      </c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  <c r="AZ1124" s="2"/>
      <c r="BA1124" s="2"/>
      <c r="BB1124" s="2"/>
      <c r="BC1124" s="2"/>
      <c r="BD1124" s="2"/>
      <c r="BE1124" s="2"/>
      <c r="BF1124" s="2"/>
      <c r="BG1124" s="2"/>
      <c r="BH1124" s="2"/>
      <c r="BI1124" s="2"/>
    </row>
    <row r="1125" spans="1:61" s="133" customFormat="1" ht="27.6" customHeight="1" x14ac:dyDescent="0.2">
      <c r="A1125" s="163">
        <v>1110</v>
      </c>
      <c r="B1125" s="58" t="s">
        <v>765</v>
      </c>
      <c r="C1125" s="9" t="s">
        <v>572</v>
      </c>
      <c r="D1125" s="71">
        <v>18444000</v>
      </c>
      <c r="E1125" s="9"/>
      <c r="F1125" s="9"/>
      <c r="G1125" s="62"/>
      <c r="H1125" s="54">
        <v>7.5</v>
      </c>
      <c r="I1125" s="34"/>
      <c r="J1125" s="34"/>
      <c r="K1125" s="34"/>
      <c r="L1125" s="34"/>
      <c r="M1125" s="34">
        <v>0</v>
      </c>
      <c r="N1125" s="34">
        <v>0</v>
      </c>
      <c r="O1125" s="34"/>
      <c r="P1125" s="34"/>
      <c r="Q1125" s="34"/>
      <c r="R1125" s="34"/>
      <c r="S1125" s="34">
        <f t="shared" si="355"/>
        <v>18444000</v>
      </c>
      <c r="T1125" s="34">
        <v>0</v>
      </c>
      <c r="U1125" s="34">
        <v>0</v>
      </c>
      <c r="V1125" s="34"/>
      <c r="W1125" s="34"/>
      <c r="X1125" s="34"/>
      <c r="Y1125" s="34"/>
      <c r="Z1125" s="34">
        <v>0</v>
      </c>
      <c r="AA1125" s="34">
        <v>0</v>
      </c>
      <c r="AB1125" s="8">
        <f t="shared" ref="AB1125:AB1127" si="360">(S1125*7.5%)/365*217</f>
        <v>822400.27397260279</v>
      </c>
      <c r="AC1125" s="4">
        <f t="shared" si="350"/>
        <v>1383300</v>
      </c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  <c r="AZ1125" s="2"/>
      <c r="BA1125" s="2"/>
      <c r="BB1125" s="2"/>
      <c r="BC1125" s="2"/>
      <c r="BD1125" s="2"/>
      <c r="BE1125" s="2"/>
      <c r="BF1125" s="2"/>
      <c r="BG1125" s="2"/>
      <c r="BH1125" s="2"/>
      <c r="BI1125" s="2"/>
    </row>
    <row r="1126" spans="1:61" s="133" customFormat="1" ht="27.6" customHeight="1" x14ac:dyDescent="0.2">
      <c r="A1126" s="163">
        <v>1111</v>
      </c>
      <c r="B1126" s="58" t="s">
        <v>765</v>
      </c>
      <c r="C1126" s="9" t="s">
        <v>572</v>
      </c>
      <c r="D1126" s="71">
        <v>9756000</v>
      </c>
      <c r="E1126" s="9"/>
      <c r="F1126" s="9"/>
      <c r="G1126" s="62"/>
      <c r="H1126" s="54">
        <v>7.5</v>
      </c>
      <c r="I1126" s="34"/>
      <c r="J1126" s="34"/>
      <c r="K1126" s="34"/>
      <c r="L1126" s="34"/>
      <c r="M1126" s="34">
        <v>0</v>
      </c>
      <c r="N1126" s="34">
        <v>0</v>
      </c>
      <c r="O1126" s="34"/>
      <c r="P1126" s="34"/>
      <c r="Q1126" s="34"/>
      <c r="R1126" s="34"/>
      <c r="S1126" s="34">
        <f t="shared" si="355"/>
        <v>9756000</v>
      </c>
      <c r="T1126" s="34">
        <v>0</v>
      </c>
      <c r="U1126" s="34">
        <v>0</v>
      </c>
      <c r="V1126" s="34"/>
      <c r="W1126" s="34"/>
      <c r="X1126" s="34"/>
      <c r="Y1126" s="34"/>
      <c r="Z1126" s="34">
        <v>0</v>
      </c>
      <c r="AA1126" s="34">
        <v>0</v>
      </c>
      <c r="AB1126" s="8">
        <f t="shared" si="360"/>
        <v>435010.68493150687</v>
      </c>
      <c r="AC1126" s="4">
        <f t="shared" si="350"/>
        <v>731700</v>
      </c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  <c r="AZ1126" s="2"/>
      <c r="BA1126" s="2"/>
      <c r="BB1126" s="2"/>
      <c r="BC1126" s="2"/>
      <c r="BD1126" s="2"/>
      <c r="BE1126" s="2"/>
      <c r="BF1126" s="2"/>
      <c r="BG1126" s="2"/>
      <c r="BH1126" s="2"/>
      <c r="BI1126" s="2"/>
    </row>
    <row r="1127" spans="1:61" s="133" customFormat="1" ht="27.6" customHeight="1" x14ac:dyDescent="0.2">
      <c r="A1127" s="163">
        <v>1112</v>
      </c>
      <c r="B1127" s="58" t="s">
        <v>765</v>
      </c>
      <c r="C1127" s="9" t="s">
        <v>572</v>
      </c>
      <c r="D1127" s="71">
        <v>36345000</v>
      </c>
      <c r="E1127" s="9"/>
      <c r="F1127" s="9"/>
      <c r="G1127" s="62"/>
      <c r="H1127" s="54">
        <v>7.5</v>
      </c>
      <c r="I1127" s="34"/>
      <c r="J1127" s="34"/>
      <c r="K1127" s="34"/>
      <c r="L1127" s="34"/>
      <c r="M1127" s="34">
        <v>0</v>
      </c>
      <c r="N1127" s="34">
        <v>0</v>
      </c>
      <c r="O1127" s="34"/>
      <c r="P1127" s="34"/>
      <c r="Q1127" s="34"/>
      <c r="R1127" s="34"/>
      <c r="S1127" s="34">
        <f t="shared" si="355"/>
        <v>36345000</v>
      </c>
      <c r="T1127" s="34">
        <v>0</v>
      </c>
      <c r="U1127" s="34">
        <v>0</v>
      </c>
      <c r="V1127" s="34"/>
      <c r="W1127" s="34"/>
      <c r="X1127" s="34"/>
      <c r="Y1127" s="34"/>
      <c r="Z1127" s="34">
        <v>0</v>
      </c>
      <c r="AA1127" s="34">
        <v>0</v>
      </c>
      <c r="AB1127" s="8">
        <f t="shared" si="360"/>
        <v>1620588.6986301369</v>
      </c>
      <c r="AC1127" s="4">
        <f t="shared" si="350"/>
        <v>2725875</v>
      </c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  <c r="AV1127" s="2"/>
      <c r="AW1127" s="2"/>
      <c r="AX1127" s="2"/>
      <c r="AY1127" s="2"/>
      <c r="AZ1127" s="2"/>
      <c r="BA1127" s="2"/>
      <c r="BB1127" s="2"/>
      <c r="BC1127" s="2"/>
      <c r="BD1127" s="2"/>
      <c r="BE1127" s="2"/>
      <c r="BF1127" s="2"/>
      <c r="BG1127" s="2"/>
      <c r="BH1127" s="2"/>
      <c r="BI1127" s="2"/>
    </row>
    <row r="1128" spans="1:61" s="133" customFormat="1" ht="27.6" customHeight="1" x14ac:dyDescent="0.2">
      <c r="A1128" s="163">
        <v>1113</v>
      </c>
      <c r="B1128" s="58" t="s">
        <v>766</v>
      </c>
      <c r="C1128" s="9" t="s">
        <v>572</v>
      </c>
      <c r="D1128" s="71">
        <v>7489000</v>
      </c>
      <c r="E1128" s="9"/>
      <c r="F1128" s="9"/>
      <c r="G1128" s="62"/>
      <c r="H1128" s="54">
        <v>7.5</v>
      </c>
      <c r="I1128" s="34"/>
      <c r="J1128" s="34"/>
      <c r="K1128" s="34"/>
      <c r="L1128" s="34"/>
      <c r="M1128" s="34">
        <v>0</v>
      </c>
      <c r="N1128" s="34">
        <v>0</v>
      </c>
      <c r="O1128" s="34"/>
      <c r="P1128" s="34"/>
      <c r="Q1128" s="34"/>
      <c r="R1128" s="34"/>
      <c r="S1128" s="34">
        <f t="shared" si="355"/>
        <v>7489000</v>
      </c>
      <c r="T1128" s="34">
        <v>0</v>
      </c>
      <c r="U1128" s="34">
        <v>0</v>
      </c>
      <c r="V1128" s="34"/>
      <c r="W1128" s="34"/>
      <c r="X1128" s="34"/>
      <c r="Y1128" s="34"/>
      <c r="Z1128" s="34">
        <v>0</v>
      </c>
      <c r="AA1128" s="34">
        <v>0</v>
      </c>
      <c r="AB1128" s="8">
        <f>(S1128*7.5%)/365*216</f>
        <v>332388.49315068492</v>
      </c>
      <c r="AC1128" s="4">
        <f t="shared" si="350"/>
        <v>561675</v>
      </c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  <c r="AV1128" s="2"/>
      <c r="AW1128" s="2"/>
      <c r="AX1128" s="2"/>
      <c r="AY1128" s="2"/>
      <c r="AZ1128" s="2"/>
      <c r="BA1128" s="2"/>
      <c r="BB1128" s="2"/>
      <c r="BC1128" s="2"/>
      <c r="BD1128" s="2"/>
      <c r="BE1128" s="2"/>
      <c r="BF1128" s="2"/>
      <c r="BG1128" s="2"/>
      <c r="BH1128" s="2"/>
      <c r="BI1128" s="2"/>
    </row>
    <row r="1129" spans="1:61" s="133" customFormat="1" ht="27.6" customHeight="1" x14ac:dyDescent="0.2">
      <c r="A1129" s="163">
        <v>1114</v>
      </c>
      <c r="B1129" s="58" t="s">
        <v>768</v>
      </c>
      <c r="C1129" s="9" t="s">
        <v>572</v>
      </c>
      <c r="D1129" s="71">
        <v>26720000</v>
      </c>
      <c r="E1129" s="9"/>
      <c r="F1129" s="9"/>
      <c r="G1129" s="62"/>
      <c r="H1129" s="54">
        <v>7.5</v>
      </c>
      <c r="I1129" s="34"/>
      <c r="J1129" s="34"/>
      <c r="K1129" s="34"/>
      <c r="L1129" s="34"/>
      <c r="M1129" s="34">
        <v>0</v>
      </c>
      <c r="N1129" s="34">
        <v>0</v>
      </c>
      <c r="O1129" s="34"/>
      <c r="P1129" s="34"/>
      <c r="Q1129" s="34"/>
      <c r="R1129" s="34"/>
      <c r="S1129" s="34">
        <f t="shared" si="355"/>
        <v>26720000</v>
      </c>
      <c r="T1129" s="34">
        <v>0</v>
      </c>
      <c r="U1129" s="34">
        <v>0</v>
      </c>
      <c r="V1129" s="34"/>
      <c r="W1129" s="34"/>
      <c r="X1129" s="34"/>
      <c r="Y1129" s="34"/>
      <c r="Z1129" s="34">
        <v>0</v>
      </c>
      <c r="AA1129" s="34">
        <v>0</v>
      </c>
      <c r="AB1129" s="8">
        <f>(S1129*7.5%)/365*202</f>
        <v>1109063.0136986303</v>
      </c>
      <c r="AC1129" s="4">
        <f t="shared" si="350"/>
        <v>2004000</v>
      </c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  <c r="AZ1129" s="2"/>
      <c r="BA1129" s="2"/>
      <c r="BB1129" s="2"/>
      <c r="BC1129" s="2"/>
      <c r="BD1129" s="2"/>
      <c r="BE1129" s="2"/>
      <c r="BF1129" s="2"/>
      <c r="BG1129" s="2"/>
      <c r="BH1129" s="2"/>
      <c r="BI1129" s="2"/>
    </row>
    <row r="1130" spans="1:61" s="133" customFormat="1" ht="27.6" customHeight="1" x14ac:dyDescent="0.2">
      <c r="A1130" s="163">
        <v>1115</v>
      </c>
      <c r="B1130" s="58" t="s">
        <v>768</v>
      </c>
      <c r="C1130" s="9" t="s">
        <v>572</v>
      </c>
      <c r="D1130" s="71">
        <v>10221000</v>
      </c>
      <c r="E1130" s="9"/>
      <c r="F1130" s="9"/>
      <c r="G1130" s="62"/>
      <c r="H1130" s="54">
        <v>7.5</v>
      </c>
      <c r="I1130" s="34"/>
      <c r="J1130" s="34"/>
      <c r="K1130" s="34"/>
      <c r="L1130" s="34"/>
      <c r="M1130" s="34">
        <v>0</v>
      </c>
      <c r="N1130" s="34">
        <v>0</v>
      </c>
      <c r="O1130" s="34"/>
      <c r="P1130" s="34"/>
      <c r="Q1130" s="34"/>
      <c r="R1130" s="34"/>
      <c r="S1130" s="34">
        <f t="shared" si="355"/>
        <v>10221000</v>
      </c>
      <c r="T1130" s="34">
        <v>0</v>
      </c>
      <c r="U1130" s="34">
        <v>0</v>
      </c>
      <c r="V1130" s="34"/>
      <c r="W1130" s="34"/>
      <c r="X1130" s="34"/>
      <c r="Y1130" s="34"/>
      <c r="Z1130" s="34">
        <v>0</v>
      </c>
      <c r="AA1130" s="34">
        <v>0</v>
      </c>
      <c r="AB1130" s="8">
        <f t="shared" ref="AB1130:AB1131" si="361">(S1130*7.5%)/365*202</f>
        <v>424241.50684931513</v>
      </c>
      <c r="AC1130" s="4">
        <f t="shared" si="350"/>
        <v>766575</v>
      </c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  <c r="AZ1130" s="2"/>
      <c r="BA1130" s="2"/>
      <c r="BB1130" s="2"/>
      <c r="BC1130" s="2"/>
      <c r="BD1130" s="2"/>
      <c r="BE1130" s="2"/>
      <c r="BF1130" s="2"/>
      <c r="BG1130" s="2"/>
      <c r="BH1130" s="2"/>
      <c r="BI1130" s="2"/>
    </row>
    <row r="1131" spans="1:61" s="133" customFormat="1" ht="27.6" customHeight="1" x14ac:dyDescent="0.2">
      <c r="A1131" s="163">
        <v>1116</v>
      </c>
      <c r="B1131" s="58" t="s">
        <v>768</v>
      </c>
      <c r="C1131" s="9" t="s">
        <v>572</v>
      </c>
      <c r="D1131" s="71">
        <v>13422000</v>
      </c>
      <c r="E1131" s="9"/>
      <c r="F1131" s="9"/>
      <c r="G1131" s="62"/>
      <c r="H1131" s="54">
        <v>7.5</v>
      </c>
      <c r="I1131" s="34"/>
      <c r="J1131" s="34"/>
      <c r="K1131" s="34"/>
      <c r="L1131" s="34"/>
      <c r="M1131" s="34">
        <v>0</v>
      </c>
      <c r="N1131" s="34">
        <v>0</v>
      </c>
      <c r="O1131" s="34"/>
      <c r="P1131" s="34"/>
      <c r="Q1131" s="34"/>
      <c r="R1131" s="34"/>
      <c r="S1131" s="34">
        <f t="shared" si="355"/>
        <v>13422000</v>
      </c>
      <c r="T1131" s="34">
        <v>0</v>
      </c>
      <c r="U1131" s="34">
        <v>0</v>
      </c>
      <c r="V1131" s="34"/>
      <c r="W1131" s="34"/>
      <c r="X1131" s="34"/>
      <c r="Y1131" s="34"/>
      <c r="Z1131" s="34">
        <v>0</v>
      </c>
      <c r="AA1131" s="34">
        <v>0</v>
      </c>
      <c r="AB1131" s="8">
        <f t="shared" si="361"/>
        <v>557104.93150684924</v>
      </c>
      <c r="AC1131" s="4">
        <f t="shared" si="350"/>
        <v>1006650</v>
      </c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  <c r="AZ1131" s="2"/>
      <c r="BA1131" s="2"/>
      <c r="BB1131" s="2"/>
      <c r="BC1131" s="2"/>
      <c r="BD1131" s="2"/>
      <c r="BE1131" s="2"/>
      <c r="BF1131" s="2"/>
      <c r="BG1131" s="2"/>
      <c r="BH1131" s="2"/>
      <c r="BI1131" s="2"/>
    </row>
    <row r="1132" spans="1:61" s="133" customFormat="1" ht="27.6" customHeight="1" x14ac:dyDescent="0.2">
      <c r="A1132" s="163">
        <v>1117</v>
      </c>
      <c r="B1132" s="58" t="s">
        <v>769</v>
      </c>
      <c r="C1132" s="9" t="s">
        <v>572</v>
      </c>
      <c r="D1132" s="71">
        <v>4003000</v>
      </c>
      <c r="E1132" s="9"/>
      <c r="F1132" s="9"/>
      <c r="G1132" s="62"/>
      <c r="H1132" s="54">
        <v>7.5</v>
      </c>
      <c r="I1132" s="34"/>
      <c r="J1132" s="34"/>
      <c r="K1132" s="34"/>
      <c r="L1132" s="34"/>
      <c r="M1132" s="34">
        <v>0</v>
      </c>
      <c r="N1132" s="34">
        <v>0</v>
      </c>
      <c r="O1132" s="34"/>
      <c r="P1132" s="34"/>
      <c r="Q1132" s="34"/>
      <c r="R1132" s="34"/>
      <c r="S1132" s="34">
        <f t="shared" si="355"/>
        <v>4003000</v>
      </c>
      <c r="T1132" s="34">
        <v>0</v>
      </c>
      <c r="U1132" s="34">
        <v>0</v>
      </c>
      <c r="V1132" s="34"/>
      <c r="W1132" s="34"/>
      <c r="X1132" s="34"/>
      <c r="Y1132" s="34"/>
      <c r="Z1132" s="34">
        <v>0</v>
      </c>
      <c r="AA1132" s="34">
        <v>0</v>
      </c>
      <c r="AB1132" s="8">
        <f>(S1132*7.5%)/365*196</f>
        <v>161216.71232876711</v>
      </c>
      <c r="AC1132" s="4">
        <f t="shared" si="350"/>
        <v>300225</v>
      </c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/>
      <c r="AW1132" s="2"/>
      <c r="AX1132" s="2"/>
      <c r="AY1132" s="2"/>
      <c r="AZ1132" s="2"/>
      <c r="BA1132" s="2"/>
      <c r="BB1132" s="2"/>
      <c r="BC1132" s="2"/>
      <c r="BD1132" s="2"/>
      <c r="BE1132" s="2"/>
      <c r="BF1132" s="2"/>
      <c r="BG1132" s="2"/>
      <c r="BH1132" s="2"/>
      <c r="BI1132" s="2"/>
    </row>
    <row r="1133" spans="1:61" s="133" customFormat="1" ht="27.6" customHeight="1" x14ac:dyDescent="0.2">
      <c r="A1133" s="163">
        <v>1118</v>
      </c>
      <c r="B1133" s="58" t="s">
        <v>769</v>
      </c>
      <c r="C1133" s="9" t="s">
        <v>572</v>
      </c>
      <c r="D1133" s="71">
        <v>3968000</v>
      </c>
      <c r="E1133" s="9"/>
      <c r="F1133" s="9"/>
      <c r="G1133" s="62"/>
      <c r="H1133" s="54">
        <v>7.5</v>
      </c>
      <c r="I1133" s="34"/>
      <c r="J1133" s="34"/>
      <c r="K1133" s="34"/>
      <c r="L1133" s="34"/>
      <c r="M1133" s="34">
        <v>0</v>
      </c>
      <c r="N1133" s="34">
        <v>0</v>
      </c>
      <c r="O1133" s="34"/>
      <c r="P1133" s="34"/>
      <c r="Q1133" s="34"/>
      <c r="R1133" s="34"/>
      <c r="S1133" s="34">
        <f t="shared" si="355"/>
        <v>3968000</v>
      </c>
      <c r="T1133" s="34">
        <v>0</v>
      </c>
      <c r="U1133" s="34">
        <v>0</v>
      </c>
      <c r="V1133" s="34"/>
      <c r="W1133" s="34"/>
      <c r="X1133" s="34"/>
      <c r="Y1133" s="34"/>
      <c r="Z1133" s="34">
        <v>0</v>
      </c>
      <c r="AA1133" s="34">
        <v>0</v>
      </c>
      <c r="AB1133" s="8">
        <f t="shared" ref="AB1133" si="362">(S1133*7.5%)/365*196</f>
        <v>159807.12328767125</v>
      </c>
      <c r="AC1133" s="4">
        <f t="shared" si="350"/>
        <v>297600</v>
      </c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  <c r="AV1133" s="2"/>
      <c r="AW1133" s="2"/>
      <c r="AX1133" s="2"/>
      <c r="AY1133" s="2"/>
      <c r="AZ1133" s="2"/>
      <c r="BA1133" s="2"/>
      <c r="BB1133" s="2"/>
      <c r="BC1133" s="2"/>
      <c r="BD1133" s="2"/>
      <c r="BE1133" s="2"/>
      <c r="BF1133" s="2"/>
      <c r="BG1133" s="2"/>
      <c r="BH1133" s="2"/>
      <c r="BI1133" s="2"/>
    </row>
    <row r="1134" spans="1:61" s="133" customFormat="1" ht="27.6" customHeight="1" x14ac:dyDescent="0.2">
      <c r="A1134" s="163">
        <v>1119</v>
      </c>
      <c r="B1134" s="58" t="s">
        <v>770</v>
      </c>
      <c r="C1134" s="9" t="s">
        <v>572</v>
      </c>
      <c r="D1134" s="71">
        <v>8787000</v>
      </c>
      <c r="E1134" s="9"/>
      <c r="F1134" s="9"/>
      <c r="G1134" s="62"/>
      <c r="H1134" s="54">
        <v>7.5</v>
      </c>
      <c r="I1134" s="34"/>
      <c r="J1134" s="34"/>
      <c r="K1134" s="34"/>
      <c r="L1134" s="34"/>
      <c r="M1134" s="34">
        <v>0</v>
      </c>
      <c r="N1134" s="34">
        <v>0</v>
      </c>
      <c r="O1134" s="34"/>
      <c r="P1134" s="34"/>
      <c r="Q1134" s="34"/>
      <c r="R1134" s="34"/>
      <c r="S1134" s="34">
        <f t="shared" si="355"/>
        <v>8787000</v>
      </c>
      <c r="T1134" s="34">
        <v>0</v>
      </c>
      <c r="U1134" s="34">
        <v>0</v>
      </c>
      <c r="V1134" s="34"/>
      <c r="W1134" s="34"/>
      <c r="X1134" s="34"/>
      <c r="Y1134" s="34"/>
      <c r="Z1134" s="34">
        <v>0</v>
      </c>
      <c r="AA1134" s="34">
        <v>0</v>
      </c>
      <c r="AB1134" s="8">
        <f>(S1134*7.5%)/365*195</f>
        <v>352081.84931506851</v>
      </c>
      <c r="AC1134" s="4">
        <f t="shared" si="350"/>
        <v>659025</v>
      </c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</row>
    <row r="1135" spans="1:61" s="133" customFormat="1" ht="27.6" customHeight="1" x14ac:dyDescent="0.2">
      <c r="A1135" s="163">
        <v>1120</v>
      </c>
      <c r="B1135" s="58" t="s">
        <v>770</v>
      </c>
      <c r="C1135" s="9" t="s">
        <v>572</v>
      </c>
      <c r="D1135" s="71">
        <v>3321000</v>
      </c>
      <c r="E1135" s="9"/>
      <c r="F1135" s="9"/>
      <c r="G1135" s="62"/>
      <c r="H1135" s="54">
        <v>7.5</v>
      </c>
      <c r="I1135" s="34"/>
      <c r="J1135" s="34"/>
      <c r="K1135" s="34"/>
      <c r="L1135" s="34"/>
      <c r="M1135" s="34">
        <v>0</v>
      </c>
      <c r="N1135" s="34">
        <v>0</v>
      </c>
      <c r="O1135" s="34"/>
      <c r="P1135" s="34"/>
      <c r="Q1135" s="34"/>
      <c r="R1135" s="34"/>
      <c r="S1135" s="34">
        <f t="shared" si="355"/>
        <v>3321000</v>
      </c>
      <c r="T1135" s="34">
        <v>0</v>
      </c>
      <c r="U1135" s="34">
        <v>0</v>
      </c>
      <c r="V1135" s="34"/>
      <c r="W1135" s="34"/>
      <c r="X1135" s="34"/>
      <c r="Y1135" s="34"/>
      <c r="Z1135" s="34">
        <v>0</v>
      </c>
      <c r="AA1135" s="34">
        <v>0</v>
      </c>
      <c r="AB1135" s="8">
        <f>(S1135*7.5%)/365*195</f>
        <v>133067.46575342465</v>
      </c>
      <c r="AC1135" s="4">
        <f t="shared" si="350"/>
        <v>249075</v>
      </c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</row>
    <row r="1136" spans="1:61" s="133" customFormat="1" ht="27.6" customHeight="1" x14ac:dyDescent="0.2">
      <c r="A1136" s="163">
        <v>1121</v>
      </c>
      <c r="B1136" s="58" t="s">
        <v>771</v>
      </c>
      <c r="C1136" s="9" t="s">
        <v>572</v>
      </c>
      <c r="D1136" s="71">
        <v>5146000</v>
      </c>
      <c r="E1136" s="9"/>
      <c r="F1136" s="9"/>
      <c r="G1136" s="62"/>
      <c r="H1136" s="54">
        <v>7.5</v>
      </c>
      <c r="I1136" s="34"/>
      <c r="J1136" s="34"/>
      <c r="K1136" s="34"/>
      <c r="L1136" s="34"/>
      <c r="M1136" s="34">
        <v>0</v>
      </c>
      <c r="N1136" s="34">
        <v>0</v>
      </c>
      <c r="O1136" s="34"/>
      <c r="P1136" s="34"/>
      <c r="Q1136" s="34"/>
      <c r="R1136" s="34"/>
      <c r="S1136" s="34">
        <f t="shared" si="355"/>
        <v>5146000</v>
      </c>
      <c r="T1136" s="34">
        <v>0</v>
      </c>
      <c r="U1136" s="34">
        <v>0</v>
      </c>
      <c r="V1136" s="34"/>
      <c r="W1136" s="34"/>
      <c r="X1136" s="34"/>
      <c r="Y1136" s="34"/>
      <c r="Z1136" s="34">
        <v>0</v>
      </c>
      <c r="AA1136" s="34">
        <v>0</v>
      </c>
      <c r="AB1136" s="8">
        <f>(S1136*7.5%)/365*191</f>
        <v>201962.87671232875</v>
      </c>
      <c r="AC1136" s="4">
        <f t="shared" si="350"/>
        <v>385950</v>
      </c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</row>
    <row r="1137" spans="1:61" s="133" customFormat="1" ht="27.6" customHeight="1" x14ac:dyDescent="0.2">
      <c r="A1137" s="163">
        <v>1122</v>
      </c>
      <c r="B1137" s="58" t="s">
        <v>774</v>
      </c>
      <c r="C1137" s="9" t="s">
        <v>572</v>
      </c>
      <c r="D1137" s="71">
        <v>14846000</v>
      </c>
      <c r="E1137" s="9"/>
      <c r="F1137" s="9"/>
      <c r="G1137" s="62"/>
      <c r="H1137" s="54">
        <v>7.5</v>
      </c>
      <c r="I1137" s="34"/>
      <c r="J1137" s="34"/>
      <c r="K1137" s="34"/>
      <c r="L1137" s="34"/>
      <c r="M1137" s="34">
        <v>0</v>
      </c>
      <c r="N1137" s="34">
        <v>0</v>
      </c>
      <c r="O1137" s="34"/>
      <c r="P1137" s="34"/>
      <c r="Q1137" s="34"/>
      <c r="R1137" s="34"/>
      <c r="S1137" s="34">
        <f t="shared" si="355"/>
        <v>14846000</v>
      </c>
      <c r="T1137" s="34">
        <v>0</v>
      </c>
      <c r="U1137" s="34">
        <v>0</v>
      </c>
      <c r="V1137" s="34"/>
      <c r="W1137" s="34"/>
      <c r="X1137" s="34"/>
      <c r="Y1137" s="34"/>
      <c r="Z1137" s="34">
        <v>0</v>
      </c>
      <c r="AA1137" s="34">
        <v>0</v>
      </c>
      <c r="AB1137" s="8">
        <f>(S1137*7.5%)/365*162</f>
        <v>494188.76712328772</v>
      </c>
      <c r="AC1137" s="4">
        <f t="shared" si="350"/>
        <v>1113450</v>
      </c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/>
      <c r="BH1137" s="2"/>
      <c r="BI1137" s="2"/>
    </row>
    <row r="1138" spans="1:61" s="133" customFormat="1" ht="27.6" customHeight="1" x14ac:dyDescent="0.2">
      <c r="A1138" s="163">
        <v>1123</v>
      </c>
      <c r="B1138" s="58" t="s">
        <v>774</v>
      </c>
      <c r="C1138" s="9" t="s">
        <v>572</v>
      </c>
      <c r="D1138" s="71">
        <v>45181000</v>
      </c>
      <c r="E1138" s="9"/>
      <c r="F1138" s="9"/>
      <c r="G1138" s="62"/>
      <c r="H1138" s="54">
        <v>7.5</v>
      </c>
      <c r="I1138" s="34"/>
      <c r="J1138" s="34"/>
      <c r="K1138" s="34"/>
      <c r="L1138" s="34"/>
      <c r="M1138" s="34">
        <v>0</v>
      </c>
      <c r="N1138" s="34">
        <v>0</v>
      </c>
      <c r="O1138" s="34"/>
      <c r="P1138" s="34"/>
      <c r="Q1138" s="34"/>
      <c r="R1138" s="34"/>
      <c r="S1138" s="34">
        <f t="shared" si="355"/>
        <v>45181000</v>
      </c>
      <c r="T1138" s="34">
        <v>0</v>
      </c>
      <c r="U1138" s="34">
        <v>0</v>
      </c>
      <c r="V1138" s="34"/>
      <c r="W1138" s="34"/>
      <c r="X1138" s="34"/>
      <c r="Y1138" s="34"/>
      <c r="Z1138" s="34">
        <v>0</v>
      </c>
      <c r="AA1138" s="34">
        <v>0</v>
      </c>
      <c r="AB1138" s="8">
        <f t="shared" ref="AB1138:AB1141" si="363">(S1138*7.5%)/365*162</f>
        <v>1503970.2739726028</v>
      </c>
      <c r="AC1138" s="4">
        <f t="shared" si="350"/>
        <v>3388575</v>
      </c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</row>
    <row r="1139" spans="1:61" s="133" customFormat="1" ht="27.6" customHeight="1" x14ac:dyDescent="0.2">
      <c r="A1139" s="163">
        <v>1124</v>
      </c>
      <c r="B1139" s="58" t="s">
        <v>774</v>
      </c>
      <c r="C1139" s="9" t="s">
        <v>572</v>
      </c>
      <c r="D1139" s="71">
        <v>78833000</v>
      </c>
      <c r="E1139" s="9"/>
      <c r="F1139" s="9"/>
      <c r="G1139" s="62"/>
      <c r="H1139" s="54">
        <v>7.5</v>
      </c>
      <c r="I1139" s="34"/>
      <c r="J1139" s="34"/>
      <c r="K1139" s="34"/>
      <c r="L1139" s="34"/>
      <c r="M1139" s="34">
        <v>0</v>
      </c>
      <c r="N1139" s="34">
        <v>0</v>
      </c>
      <c r="O1139" s="34"/>
      <c r="P1139" s="34"/>
      <c r="Q1139" s="34"/>
      <c r="R1139" s="34"/>
      <c r="S1139" s="34">
        <f t="shared" si="355"/>
        <v>78833000</v>
      </c>
      <c r="T1139" s="34">
        <v>0</v>
      </c>
      <c r="U1139" s="34">
        <v>0</v>
      </c>
      <c r="V1139" s="34"/>
      <c r="W1139" s="34"/>
      <c r="X1139" s="34"/>
      <c r="Y1139" s="34"/>
      <c r="Z1139" s="34">
        <v>0</v>
      </c>
      <c r="AA1139" s="34">
        <v>0</v>
      </c>
      <c r="AB1139" s="8">
        <f t="shared" si="363"/>
        <v>2624166.9863013695</v>
      </c>
      <c r="AC1139" s="4">
        <f t="shared" si="350"/>
        <v>5912475</v>
      </c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</row>
    <row r="1140" spans="1:61" s="133" customFormat="1" ht="27.6" customHeight="1" x14ac:dyDescent="0.2">
      <c r="A1140" s="163">
        <v>1125</v>
      </c>
      <c r="B1140" s="58" t="s">
        <v>774</v>
      </c>
      <c r="C1140" s="9" t="s">
        <v>572</v>
      </c>
      <c r="D1140" s="71">
        <v>14043000</v>
      </c>
      <c r="E1140" s="9"/>
      <c r="F1140" s="9"/>
      <c r="G1140" s="62"/>
      <c r="H1140" s="54">
        <v>7.5</v>
      </c>
      <c r="I1140" s="34"/>
      <c r="J1140" s="34"/>
      <c r="K1140" s="34"/>
      <c r="L1140" s="34"/>
      <c r="M1140" s="34">
        <v>0</v>
      </c>
      <c r="N1140" s="34">
        <v>0</v>
      </c>
      <c r="O1140" s="34"/>
      <c r="P1140" s="34"/>
      <c r="Q1140" s="34"/>
      <c r="R1140" s="34"/>
      <c r="S1140" s="34">
        <f t="shared" si="355"/>
        <v>14043000</v>
      </c>
      <c r="T1140" s="34">
        <v>0</v>
      </c>
      <c r="U1140" s="34">
        <v>0</v>
      </c>
      <c r="V1140" s="34"/>
      <c r="W1140" s="34"/>
      <c r="X1140" s="34"/>
      <c r="Y1140" s="34"/>
      <c r="Z1140" s="34">
        <v>0</v>
      </c>
      <c r="AA1140" s="34">
        <v>0</v>
      </c>
      <c r="AB1140" s="8">
        <f t="shared" si="363"/>
        <v>467458.76712328772</v>
      </c>
      <c r="AC1140" s="4">
        <f t="shared" si="350"/>
        <v>1053225</v>
      </c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</row>
    <row r="1141" spans="1:61" s="133" customFormat="1" ht="27.6" customHeight="1" x14ac:dyDescent="0.2">
      <c r="A1141" s="163">
        <v>1126</v>
      </c>
      <c r="B1141" s="58" t="s">
        <v>774</v>
      </c>
      <c r="C1141" s="9" t="s">
        <v>572</v>
      </c>
      <c r="D1141" s="71">
        <v>50706000</v>
      </c>
      <c r="E1141" s="9"/>
      <c r="F1141" s="9"/>
      <c r="G1141" s="62"/>
      <c r="H1141" s="54">
        <v>7.5</v>
      </c>
      <c r="I1141" s="34"/>
      <c r="J1141" s="34"/>
      <c r="K1141" s="34"/>
      <c r="L1141" s="34"/>
      <c r="M1141" s="34">
        <v>0</v>
      </c>
      <c r="N1141" s="34">
        <v>0</v>
      </c>
      <c r="O1141" s="34"/>
      <c r="P1141" s="34"/>
      <c r="Q1141" s="34"/>
      <c r="R1141" s="34"/>
      <c r="S1141" s="34">
        <f t="shared" si="355"/>
        <v>50706000</v>
      </c>
      <c r="T1141" s="34">
        <v>0</v>
      </c>
      <c r="U1141" s="34">
        <v>0</v>
      </c>
      <c r="V1141" s="34"/>
      <c r="W1141" s="34"/>
      <c r="X1141" s="34"/>
      <c r="Y1141" s="34"/>
      <c r="Z1141" s="34">
        <v>0</v>
      </c>
      <c r="AA1141" s="34">
        <v>0</v>
      </c>
      <c r="AB1141" s="8">
        <f t="shared" si="363"/>
        <v>1687884.6575342466</v>
      </c>
      <c r="AC1141" s="4">
        <f t="shared" si="350"/>
        <v>3802950</v>
      </c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</row>
    <row r="1142" spans="1:61" s="133" customFormat="1" ht="27.6" customHeight="1" x14ac:dyDescent="0.2">
      <c r="A1142" s="163">
        <v>1127</v>
      </c>
      <c r="B1142" s="58" t="s">
        <v>775</v>
      </c>
      <c r="C1142" s="9" t="s">
        <v>572</v>
      </c>
      <c r="D1142" s="71">
        <v>9922000</v>
      </c>
      <c r="E1142" s="9"/>
      <c r="F1142" s="9"/>
      <c r="G1142" s="62"/>
      <c r="H1142" s="54">
        <v>7.5</v>
      </c>
      <c r="I1142" s="34"/>
      <c r="J1142" s="34"/>
      <c r="K1142" s="34"/>
      <c r="L1142" s="34"/>
      <c r="M1142" s="34">
        <v>0</v>
      </c>
      <c r="N1142" s="34">
        <v>0</v>
      </c>
      <c r="O1142" s="34"/>
      <c r="P1142" s="34"/>
      <c r="Q1142" s="34"/>
      <c r="R1142" s="34"/>
      <c r="S1142" s="34">
        <f t="shared" si="355"/>
        <v>9922000</v>
      </c>
      <c r="T1142" s="34">
        <v>0</v>
      </c>
      <c r="U1142" s="34">
        <v>0</v>
      </c>
      <c r="V1142" s="34"/>
      <c r="W1142" s="34"/>
      <c r="X1142" s="34"/>
      <c r="Y1142" s="34"/>
      <c r="Z1142" s="34">
        <v>0</v>
      </c>
      <c r="AA1142" s="34">
        <v>0</v>
      </c>
      <c r="AB1142" s="8">
        <f>(S1142*7.5%)/365*161</f>
        <v>328241.50684931508</v>
      </c>
      <c r="AC1142" s="4">
        <f t="shared" si="350"/>
        <v>744150</v>
      </c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</row>
    <row r="1143" spans="1:61" s="133" customFormat="1" ht="27.6" customHeight="1" x14ac:dyDescent="0.2">
      <c r="A1143" s="163">
        <v>1128</v>
      </c>
      <c r="B1143" s="58" t="s">
        <v>775</v>
      </c>
      <c r="C1143" s="9" t="s">
        <v>572</v>
      </c>
      <c r="D1143" s="71">
        <v>2054000</v>
      </c>
      <c r="E1143" s="9"/>
      <c r="F1143" s="9"/>
      <c r="G1143" s="62"/>
      <c r="H1143" s="54">
        <v>7.5</v>
      </c>
      <c r="I1143" s="34"/>
      <c r="J1143" s="34"/>
      <c r="K1143" s="34"/>
      <c r="L1143" s="34"/>
      <c r="M1143" s="34">
        <v>0</v>
      </c>
      <c r="N1143" s="34">
        <v>0</v>
      </c>
      <c r="O1143" s="34"/>
      <c r="P1143" s="34"/>
      <c r="Q1143" s="34"/>
      <c r="R1143" s="34"/>
      <c r="S1143" s="34">
        <f t="shared" si="355"/>
        <v>2054000</v>
      </c>
      <c r="T1143" s="34">
        <v>0</v>
      </c>
      <c r="U1143" s="34">
        <v>0</v>
      </c>
      <c r="V1143" s="34"/>
      <c r="W1143" s="34"/>
      <c r="X1143" s="34"/>
      <c r="Y1143" s="34"/>
      <c r="Z1143" s="34">
        <v>0</v>
      </c>
      <c r="AA1143" s="34">
        <v>0</v>
      </c>
      <c r="AB1143" s="8">
        <f t="shared" ref="AB1143:AB1144" si="364">(S1143*7.5%)/365*161</f>
        <v>67950.821917808222</v>
      </c>
      <c r="AC1143" s="4">
        <f t="shared" si="350"/>
        <v>154050</v>
      </c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</row>
    <row r="1144" spans="1:61" s="133" customFormat="1" ht="27.6" customHeight="1" x14ac:dyDescent="0.2">
      <c r="A1144" s="163">
        <v>1129</v>
      </c>
      <c r="B1144" s="58" t="s">
        <v>775</v>
      </c>
      <c r="C1144" s="9" t="s">
        <v>572</v>
      </c>
      <c r="D1144" s="71">
        <v>2882000</v>
      </c>
      <c r="E1144" s="9"/>
      <c r="F1144" s="9"/>
      <c r="G1144" s="62"/>
      <c r="H1144" s="54">
        <v>7.5</v>
      </c>
      <c r="I1144" s="34"/>
      <c r="J1144" s="34"/>
      <c r="K1144" s="34"/>
      <c r="L1144" s="34"/>
      <c r="M1144" s="34">
        <v>0</v>
      </c>
      <c r="N1144" s="34">
        <v>0</v>
      </c>
      <c r="O1144" s="34"/>
      <c r="P1144" s="34"/>
      <c r="Q1144" s="34"/>
      <c r="R1144" s="34"/>
      <c r="S1144" s="34">
        <f t="shared" si="355"/>
        <v>2882000</v>
      </c>
      <c r="T1144" s="34">
        <v>0</v>
      </c>
      <c r="U1144" s="34">
        <v>0</v>
      </c>
      <c r="V1144" s="34"/>
      <c r="W1144" s="34"/>
      <c r="X1144" s="34"/>
      <c r="Y1144" s="34"/>
      <c r="Z1144" s="34">
        <v>0</v>
      </c>
      <c r="AA1144" s="34">
        <v>0</v>
      </c>
      <c r="AB1144" s="8">
        <f t="shared" si="364"/>
        <v>95342.876712328769</v>
      </c>
      <c r="AC1144" s="4">
        <f t="shared" si="350"/>
        <v>216150</v>
      </c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</row>
    <row r="1145" spans="1:61" s="133" customFormat="1" ht="27.6" customHeight="1" x14ac:dyDescent="0.2">
      <c r="A1145" s="163">
        <v>1130</v>
      </c>
      <c r="B1145" s="58" t="s">
        <v>776</v>
      </c>
      <c r="C1145" s="9" t="s">
        <v>572</v>
      </c>
      <c r="D1145" s="71">
        <v>3124000</v>
      </c>
      <c r="E1145" s="9"/>
      <c r="F1145" s="9"/>
      <c r="G1145" s="62"/>
      <c r="H1145" s="54">
        <v>7.5</v>
      </c>
      <c r="I1145" s="34"/>
      <c r="J1145" s="34"/>
      <c r="K1145" s="34"/>
      <c r="L1145" s="34"/>
      <c r="M1145" s="34">
        <v>0</v>
      </c>
      <c r="N1145" s="34">
        <v>0</v>
      </c>
      <c r="O1145" s="34"/>
      <c r="P1145" s="34"/>
      <c r="Q1145" s="34"/>
      <c r="R1145" s="34"/>
      <c r="S1145" s="34">
        <f t="shared" si="355"/>
        <v>3124000</v>
      </c>
      <c r="T1145" s="34">
        <v>0</v>
      </c>
      <c r="U1145" s="34">
        <v>0</v>
      </c>
      <c r="V1145" s="34"/>
      <c r="W1145" s="34"/>
      <c r="X1145" s="34"/>
      <c r="Y1145" s="34"/>
      <c r="Z1145" s="34">
        <v>0</v>
      </c>
      <c r="AA1145" s="34">
        <v>0</v>
      </c>
      <c r="AB1145" s="8">
        <f>(S1145*7.5%)/365*156</f>
        <v>100139.17808219178</v>
      </c>
      <c r="AC1145" s="4">
        <f t="shared" si="350"/>
        <v>234300</v>
      </c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</row>
    <row r="1146" spans="1:61" s="133" customFormat="1" ht="27.6" customHeight="1" x14ac:dyDescent="0.2">
      <c r="A1146" s="163">
        <v>1131</v>
      </c>
      <c r="B1146" s="58" t="s">
        <v>778</v>
      </c>
      <c r="C1146" s="9" t="s">
        <v>572</v>
      </c>
      <c r="D1146" s="71">
        <v>109602000</v>
      </c>
      <c r="E1146" s="9"/>
      <c r="F1146" s="9"/>
      <c r="G1146" s="62"/>
      <c r="H1146" s="54">
        <v>7.5</v>
      </c>
      <c r="I1146" s="34"/>
      <c r="J1146" s="34"/>
      <c r="K1146" s="34"/>
      <c r="L1146" s="34"/>
      <c r="M1146" s="34">
        <v>0</v>
      </c>
      <c r="N1146" s="34">
        <v>0</v>
      </c>
      <c r="O1146" s="34"/>
      <c r="P1146" s="34"/>
      <c r="Q1146" s="34"/>
      <c r="R1146" s="34"/>
      <c r="S1146" s="34">
        <f t="shared" si="355"/>
        <v>109602000</v>
      </c>
      <c r="T1146" s="34">
        <v>0</v>
      </c>
      <c r="U1146" s="34">
        <v>0</v>
      </c>
      <c r="V1146" s="34"/>
      <c r="W1146" s="34"/>
      <c r="X1146" s="34"/>
      <c r="Y1146" s="34"/>
      <c r="Z1146" s="34">
        <v>0</v>
      </c>
      <c r="AA1146" s="34">
        <v>0</v>
      </c>
      <c r="AB1146" s="8">
        <f>(S1146*7.5%)/365*141</f>
        <v>3175455.2054794519</v>
      </c>
      <c r="AC1146" s="4">
        <f t="shared" ref="AC1146:AC1167" si="365">S1146*H1146%</f>
        <v>8220150</v>
      </c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</row>
    <row r="1147" spans="1:61" s="133" customFormat="1" ht="27.6" customHeight="1" x14ac:dyDescent="0.2">
      <c r="A1147" s="163">
        <v>1132</v>
      </c>
      <c r="B1147" s="58" t="s">
        <v>778</v>
      </c>
      <c r="C1147" s="9" t="s">
        <v>572</v>
      </c>
      <c r="D1147" s="71">
        <v>12445000</v>
      </c>
      <c r="E1147" s="9"/>
      <c r="F1147" s="9"/>
      <c r="G1147" s="62"/>
      <c r="H1147" s="54">
        <v>7.5</v>
      </c>
      <c r="I1147" s="34"/>
      <c r="J1147" s="34"/>
      <c r="K1147" s="34"/>
      <c r="L1147" s="34"/>
      <c r="M1147" s="34">
        <v>0</v>
      </c>
      <c r="N1147" s="34">
        <v>0</v>
      </c>
      <c r="O1147" s="34"/>
      <c r="P1147" s="34"/>
      <c r="Q1147" s="34"/>
      <c r="R1147" s="34"/>
      <c r="S1147" s="34">
        <f t="shared" si="355"/>
        <v>12445000</v>
      </c>
      <c r="T1147" s="34">
        <v>0</v>
      </c>
      <c r="U1147" s="34">
        <v>0</v>
      </c>
      <c r="V1147" s="34"/>
      <c r="W1147" s="34"/>
      <c r="X1147" s="34"/>
      <c r="Y1147" s="34"/>
      <c r="Z1147" s="34">
        <v>0</v>
      </c>
      <c r="AA1147" s="34">
        <v>0</v>
      </c>
      <c r="AB1147" s="8">
        <f>(S1147*7.5%)/365*141</f>
        <v>360564.0410958904</v>
      </c>
      <c r="AC1147" s="4">
        <f t="shared" si="365"/>
        <v>933375</v>
      </c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</row>
    <row r="1148" spans="1:61" s="133" customFormat="1" ht="27.6" customHeight="1" x14ac:dyDescent="0.2">
      <c r="A1148" s="163">
        <v>1133</v>
      </c>
      <c r="B1148" s="58" t="s">
        <v>779</v>
      </c>
      <c r="C1148" s="9" t="s">
        <v>572</v>
      </c>
      <c r="D1148" s="71">
        <v>12295000</v>
      </c>
      <c r="E1148" s="9"/>
      <c r="F1148" s="9"/>
      <c r="G1148" s="62"/>
      <c r="H1148" s="54">
        <v>7.5</v>
      </c>
      <c r="I1148" s="34"/>
      <c r="J1148" s="34"/>
      <c r="K1148" s="34"/>
      <c r="L1148" s="34"/>
      <c r="M1148" s="34">
        <v>0</v>
      </c>
      <c r="N1148" s="34">
        <v>0</v>
      </c>
      <c r="O1148" s="34"/>
      <c r="P1148" s="34"/>
      <c r="Q1148" s="34"/>
      <c r="R1148" s="34"/>
      <c r="S1148" s="34">
        <f t="shared" si="355"/>
        <v>12295000</v>
      </c>
      <c r="T1148" s="34">
        <v>0</v>
      </c>
      <c r="U1148" s="34">
        <v>0</v>
      </c>
      <c r="V1148" s="34"/>
      <c r="W1148" s="34"/>
      <c r="X1148" s="34"/>
      <c r="Y1148" s="34"/>
      <c r="Z1148" s="34">
        <v>0</v>
      </c>
      <c r="AA1148" s="34">
        <v>0</v>
      </c>
      <c r="AB1148" s="8">
        <f>(S1148*7.5%)/365*139</f>
        <v>351165.41095890413</v>
      </c>
      <c r="AC1148" s="4">
        <f t="shared" si="365"/>
        <v>922125</v>
      </c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</row>
    <row r="1149" spans="1:61" s="133" customFormat="1" ht="27.6" customHeight="1" x14ac:dyDescent="0.2">
      <c r="A1149" s="163">
        <v>1134</v>
      </c>
      <c r="B1149" s="58" t="s">
        <v>780</v>
      </c>
      <c r="C1149" s="9" t="s">
        <v>572</v>
      </c>
      <c r="D1149" s="71">
        <v>3770000</v>
      </c>
      <c r="E1149" s="9"/>
      <c r="F1149" s="9"/>
      <c r="G1149" s="62"/>
      <c r="H1149" s="54">
        <v>7.5</v>
      </c>
      <c r="I1149" s="34"/>
      <c r="J1149" s="34"/>
      <c r="K1149" s="34"/>
      <c r="L1149" s="34"/>
      <c r="M1149" s="34">
        <v>0</v>
      </c>
      <c r="N1149" s="34">
        <v>0</v>
      </c>
      <c r="O1149" s="34"/>
      <c r="P1149" s="34"/>
      <c r="Q1149" s="34"/>
      <c r="R1149" s="34"/>
      <c r="S1149" s="34">
        <f t="shared" si="355"/>
        <v>3770000</v>
      </c>
      <c r="T1149" s="34">
        <v>0</v>
      </c>
      <c r="U1149" s="34">
        <v>0</v>
      </c>
      <c r="V1149" s="34"/>
      <c r="W1149" s="34"/>
      <c r="X1149" s="34"/>
      <c r="Y1149" s="34"/>
      <c r="Z1149" s="34">
        <v>0</v>
      </c>
      <c r="AA1149" s="34">
        <v>0</v>
      </c>
      <c r="AB1149" s="8">
        <f>(S1149*7.5%)/365*135</f>
        <v>104578.76712328767</v>
      </c>
      <c r="AC1149" s="4">
        <f t="shared" si="365"/>
        <v>282750</v>
      </c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</row>
    <row r="1150" spans="1:61" s="133" customFormat="1" ht="27.6" customHeight="1" x14ac:dyDescent="0.2">
      <c r="A1150" s="163">
        <v>1135</v>
      </c>
      <c r="B1150" s="58" t="s">
        <v>780</v>
      </c>
      <c r="C1150" s="9" t="s">
        <v>572</v>
      </c>
      <c r="D1150" s="71">
        <v>2577000</v>
      </c>
      <c r="E1150" s="9"/>
      <c r="F1150" s="9"/>
      <c r="G1150" s="62"/>
      <c r="H1150" s="54">
        <v>7.5</v>
      </c>
      <c r="I1150" s="34"/>
      <c r="J1150" s="34"/>
      <c r="K1150" s="34"/>
      <c r="L1150" s="34"/>
      <c r="M1150" s="34">
        <v>0</v>
      </c>
      <c r="N1150" s="34">
        <v>0</v>
      </c>
      <c r="O1150" s="34"/>
      <c r="P1150" s="34"/>
      <c r="Q1150" s="34"/>
      <c r="R1150" s="34"/>
      <c r="S1150" s="34">
        <f t="shared" si="355"/>
        <v>2577000</v>
      </c>
      <c r="T1150" s="34">
        <v>0</v>
      </c>
      <c r="U1150" s="34">
        <v>0</v>
      </c>
      <c r="V1150" s="34"/>
      <c r="W1150" s="34"/>
      <c r="X1150" s="34"/>
      <c r="Y1150" s="34"/>
      <c r="Z1150" s="34">
        <v>0</v>
      </c>
      <c r="AA1150" s="34">
        <v>0</v>
      </c>
      <c r="AB1150" s="8">
        <f t="shared" ref="AB1150:AB1151" si="366">(S1150*7.5%)/365*135</f>
        <v>71485.27397260275</v>
      </c>
      <c r="AC1150" s="4">
        <f t="shared" si="365"/>
        <v>193275</v>
      </c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</row>
    <row r="1151" spans="1:61" s="133" customFormat="1" ht="27.6" customHeight="1" x14ac:dyDescent="0.2">
      <c r="A1151" s="163">
        <v>1136</v>
      </c>
      <c r="B1151" s="58" t="s">
        <v>780</v>
      </c>
      <c r="C1151" s="9" t="s">
        <v>572</v>
      </c>
      <c r="D1151" s="71">
        <v>4268000</v>
      </c>
      <c r="E1151" s="9"/>
      <c r="F1151" s="9"/>
      <c r="G1151" s="62"/>
      <c r="H1151" s="54">
        <v>7.5</v>
      </c>
      <c r="I1151" s="34"/>
      <c r="J1151" s="34"/>
      <c r="K1151" s="34"/>
      <c r="L1151" s="34"/>
      <c r="M1151" s="34">
        <v>0</v>
      </c>
      <c r="N1151" s="34">
        <v>0</v>
      </c>
      <c r="O1151" s="34"/>
      <c r="P1151" s="34"/>
      <c r="Q1151" s="34"/>
      <c r="R1151" s="34"/>
      <c r="S1151" s="34">
        <f t="shared" si="355"/>
        <v>4268000</v>
      </c>
      <c r="T1151" s="34">
        <v>0</v>
      </c>
      <c r="U1151" s="34">
        <v>0</v>
      </c>
      <c r="V1151" s="34"/>
      <c r="W1151" s="34"/>
      <c r="X1151" s="34"/>
      <c r="Y1151" s="34"/>
      <c r="Z1151" s="34">
        <v>0</v>
      </c>
      <c r="AA1151" s="34">
        <v>0</v>
      </c>
      <c r="AB1151" s="8">
        <f t="shared" si="366"/>
        <v>118393.1506849315</v>
      </c>
      <c r="AC1151" s="4">
        <f t="shared" si="365"/>
        <v>320100</v>
      </c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</row>
    <row r="1152" spans="1:61" s="133" customFormat="1" ht="27.6" customHeight="1" x14ac:dyDescent="0.2">
      <c r="A1152" s="163">
        <v>1137</v>
      </c>
      <c r="B1152" s="58" t="s">
        <v>784</v>
      </c>
      <c r="C1152" s="9" t="s">
        <v>572</v>
      </c>
      <c r="D1152" s="71">
        <v>82836000</v>
      </c>
      <c r="E1152" s="9"/>
      <c r="F1152" s="9"/>
      <c r="G1152" s="62"/>
      <c r="H1152" s="54">
        <v>7.5</v>
      </c>
      <c r="I1152" s="34"/>
      <c r="J1152" s="34"/>
      <c r="K1152" s="34"/>
      <c r="L1152" s="34"/>
      <c r="M1152" s="34">
        <v>0</v>
      </c>
      <c r="N1152" s="34">
        <v>0</v>
      </c>
      <c r="O1152" s="34"/>
      <c r="P1152" s="34"/>
      <c r="Q1152" s="34"/>
      <c r="R1152" s="34"/>
      <c r="S1152" s="34">
        <f t="shared" si="355"/>
        <v>82836000</v>
      </c>
      <c r="T1152" s="34">
        <v>0</v>
      </c>
      <c r="U1152" s="34">
        <v>0</v>
      </c>
      <c r="V1152" s="34"/>
      <c r="W1152" s="34"/>
      <c r="X1152" s="34"/>
      <c r="Y1152" s="34"/>
      <c r="Z1152" s="34">
        <v>0</v>
      </c>
      <c r="AA1152" s="34">
        <v>0</v>
      </c>
      <c r="AB1152" s="8">
        <f>(S1152*7.5%)/365*114</f>
        <v>1940404.9315068491</v>
      </c>
      <c r="AC1152" s="4">
        <f t="shared" si="365"/>
        <v>6212700</v>
      </c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</row>
    <row r="1153" spans="1:61" s="133" customFormat="1" ht="27.6" customHeight="1" x14ac:dyDescent="0.2">
      <c r="A1153" s="163">
        <v>1138</v>
      </c>
      <c r="B1153" s="58" t="s">
        <v>785</v>
      </c>
      <c r="C1153" s="9" t="s">
        <v>572</v>
      </c>
      <c r="D1153" s="71">
        <v>1881000</v>
      </c>
      <c r="E1153" s="9"/>
      <c r="F1153" s="9"/>
      <c r="G1153" s="62"/>
      <c r="H1153" s="54">
        <v>7.5</v>
      </c>
      <c r="I1153" s="34"/>
      <c r="J1153" s="34"/>
      <c r="K1153" s="34"/>
      <c r="L1153" s="34"/>
      <c r="M1153" s="34">
        <v>0</v>
      </c>
      <c r="N1153" s="34">
        <v>0</v>
      </c>
      <c r="O1153" s="34"/>
      <c r="P1153" s="34"/>
      <c r="Q1153" s="34"/>
      <c r="R1153" s="34"/>
      <c r="S1153" s="34">
        <f t="shared" si="355"/>
        <v>1881000</v>
      </c>
      <c r="T1153" s="34">
        <v>0</v>
      </c>
      <c r="U1153" s="34">
        <v>0</v>
      </c>
      <c r="V1153" s="34"/>
      <c r="W1153" s="34"/>
      <c r="X1153" s="34"/>
      <c r="Y1153" s="34"/>
      <c r="Z1153" s="34">
        <v>0</v>
      </c>
      <c r="AA1153" s="34">
        <v>0</v>
      </c>
      <c r="AB1153" s="8">
        <f>(S1153*7.5%)/365*113</f>
        <v>43675.273972602743</v>
      </c>
      <c r="AC1153" s="4">
        <f t="shared" si="365"/>
        <v>141075</v>
      </c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</row>
    <row r="1154" spans="1:61" s="133" customFormat="1" ht="27.6" customHeight="1" x14ac:dyDescent="0.2">
      <c r="A1154" s="163">
        <v>1139</v>
      </c>
      <c r="B1154" s="58" t="s">
        <v>785</v>
      </c>
      <c r="C1154" s="9" t="s">
        <v>572</v>
      </c>
      <c r="D1154" s="71">
        <v>7920000</v>
      </c>
      <c r="E1154" s="9"/>
      <c r="F1154" s="9"/>
      <c r="G1154" s="62"/>
      <c r="H1154" s="54">
        <v>7.5</v>
      </c>
      <c r="I1154" s="34"/>
      <c r="J1154" s="34"/>
      <c r="K1154" s="34"/>
      <c r="L1154" s="34"/>
      <c r="M1154" s="34">
        <v>0</v>
      </c>
      <c r="N1154" s="34">
        <v>0</v>
      </c>
      <c r="O1154" s="34"/>
      <c r="P1154" s="34"/>
      <c r="Q1154" s="34"/>
      <c r="R1154" s="34"/>
      <c r="S1154" s="34">
        <f t="shared" si="355"/>
        <v>7920000</v>
      </c>
      <c r="T1154" s="34">
        <v>0</v>
      </c>
      <c r="U1154" s="34">
        <v>0</v>
      </c>
      <c r="V1154" s="34"/>
      <c r="W1154" s="34"/>
      <c r="X1154" s="34"/>
      <c r="Y1154" s="34"/>
      <c r="Z1154" s="34">
        <v>0</v>
      </c>
      <c r="AA1154" s="34">
        <v>0</v>
      </c>
      <c r="AB1154" s="8">
        <f t="shared" ref="AB1154:AB1157" si="367">(S1154*7.5%)/365*113</f>
        <v>183895.89041095891</v>
      </c>
      <c r="AC1154" s="4">
        <f t="shared" si="365"/>
        <v>594000</v>
      </c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</row>
    <row r="1155" spans="1:61" s="133" customFormat="1" ht="27.6" customHeight="1" x14ac:dyDescent="0.2">
      <c r="A1155" s="163">
        <v>1140</v>
      </c>
      <c r="B1155" s="58" t="s">
        <v>785</v>
      </c>
      <c r="C1155" s="9" t="s">
        <v>572</v>
      </c>
      <c r="D1155" s="71">
        <v>3264000</v>
      </c>
      <c r="E1155" s="9"/>
      <c r="F1155" s="9"/>
      <c r="G1155" s="62"/>
      <c r="H1155" s="54">
        <v>7.5</v>
      </c>
      <c r="I1155" s="34"/>
      <c r="J1155" s="34"/>
      <c r="K1155" s="34"/>
      <c r="L1155" s="34"/>
      <c r="M1155" s="34">
        <v>0</v>
      </c>
      <c r="N1155" s="34">
        <v>0</v>
      </c>
      <c r="O1155" s="34"/>
      <c r="P1155" s="34"/>
      <c r="Q1155" s="34"/>
      <c r="R1155" s="34"/>
      <c r="S1155" s="34">
        <f t="shared" si="355"/>
        <v>3264000</v>
      </c>
      <c r="T1155" s="34">
        <v>0</v>
      </c>
      <c r="U1155" s="34">
        <v>0</v>
      </c>
      <c r="V1155" s="34"/>
      <c r="W1155" s="34"/>
      <c r="X1155" s="34"/>
      <c r="Y1155" s="34"/>
      <c r="Z1155" s="34">
        <v>0</v>
      </c>
      <c r="AA1155" s="34">
        <v>0</v>
      </c>
      <c r="AB1155" s="8">
        <f t="shared" si="367"/>
        <v>75787.397260273981</v>
      </c>
      <c r="AC1155" s="4">
        <f t="shared" si="365"/>
        <v>244800</v>
      </c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  <c r="AZ1155" s="2"/>
      <c r="BA1155" s="2"/>
      <c r="BB1155" s="2"/>
      <c r="BC1155" s="2"/>
      <c r="BD1155" s="2"/>
      <c r="BE1155" s="2"/>
      <c r="BF1155" s="2"/>
      <c r="BG1155" s="2"/>
      <c r="BH1155" s="2"/>
      <c r="BI1155" s="2"/>
    </row>
    <row r="1156" spans="1:61" s="133" customFormat="1" ht="27.6" customHeight="1" x14ac:dyDescent="0.2">
      <c r="A1156" s="163">
        <v>1141</v>
      </c>
      <c r="B1156" s="58" t="s">
        <v>785</v>
      </c>
      <c r="C1156" s="9" t="s">
        <v>572</v>
      </c>
      <c r="D1156" s="71">
        <v>8158000</v>
      </c>
      <c r="E1156" s="9"/>
      <c r="F1156" s="9"/>
      <c r="G1156" s="62"/>
      <c r="H1156" s="54">
        <v>7.5</v>
      </c>
      <c r="I1156" s="34"/>
      <c r="J1156" s="34"/>
      <c r="K1156" s="34"/>
      <c r="L1156" s="34"/>
      <c r="M1156" s="34">
        <v>0</v>
      </c>
      <c r="N1156" s="34">
        <v>0</v>
      </c>
      <c r="O1156" s="34"/>
      <c r="P1156" s="34"/>
      <c r="Q1156" s="34"/>
      <c r="R1156" s="34"/>
      <c r="S1156" s="34">
        <f t="shared" si="355"/>
        <v>8158000</v>
      </c>
      <c r="T1156" s="34">
        <v>0</v>
      </c>
      <c r="U1156" s="34">
        <v>0</v>
      </c>
      <c r="V1156" s="34"/>
      <c r="W1156" s="34"/>
      <c r="X1156" s="34"/>
      <c r="Y1156" s="34"/>
      <c r="Z1156" s="34">
        <v>0</v>
      </c>
      <c r="AA1156" s="34">
        <v>0</v>
      </c>
      <c r="AB1156" s="8">
        <f t="shared" si="367"/>
        <v>189422.05479452055</v>
      </c>
      <c r="AC1156" s="4">
        <f t="shared" si="365"/>
        <v>611850</v>
      </c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  <c r="AZ1156" s="2"/>
      <c r="BA1156" s="2"/>
      <c r="BB1156" s="2"/>
      <c r="BC1156" s="2"/>
      <c r="BD1156" s="2"/>
      <c r="BE1156" s="2"/>
      <c r="BF1156" s="2"/>
      <c r="BG1156" s="2"/>
      <c r="BH1156" s="2"/>
      <c r="BI1156" s="2"/>
    </row>
    <row r="1157" spans="1:61" s="133" customFormat="1" ht="27.6" customHeight="1" x14ac:dyDescent="0.2">
      <c r="A1157" s="163">
        <v>1142</v>
      </c>
      <c r="B1157" s="58" t="s">
        <v>785</v>
      </c>
      <c r="C1157" s="9" t="s">
        <v>572</v>
      </c>
      <c r="D1157" s="71">
        <v>5034000</v>
      </c>
      <c r="E1157" s="9"/>
      <c r="F1157" s="9"/>
      <c r="G1157" s="62"/>
      <c r="H1157" s="54">
        <v>7.5</v>
      </c>
      <c r="I1157" s="34"/>
      <c r="J1157" s="34"/>
      <c r="K1157" s="34"/>
      <c r="L1157" s="34"/>
      <c r="M1157" s="34">
        <v>0</v>
      </c>
      <c r="N1157" s="34">
        <v>0</v>
      </c>
      <c r="O1157" s="34"/>
      <c r="P1157" s="34"/>
      <c r="Q1157" s="34"/>
      <c r="R1157" s="34"/>
      <c r="S1157" s="34">
        <f t="shared" si="355"/>
        <v>5034000</v>
      </c>
      <c r="T1157" s="34">
        <v>0</v>
      </c>
      <c r="U1157" s="34">
        <v>0</v>
      </c>
      <c r="V1157" s="34"/>
      <c r="W1157" s="34"/>
      <c r="X1157" s="34"/>
      <c r="Y1157" s="34"/>
      <c r="Z1157" s="34">
        <v>0</v>
      </c>
      <c r="AA1157" s="34">
        <v>0</v>
      </c>
      <c r="AB1157" s="8">
        <f t="shared" si="367"/>
        <v>116885.34246575343</v>
      </c>
      <c r="AC1157" s="4">
        <f t="shared" si="365"/>
        <v>377550</v>
      </c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  <c r="AV1157" s="2"/>
      <c r="AW1157" s="2"/>
      <c r="AX1157" s="2"/>
      <c r="AY1157" s="2"/>
      <c r="AZ1157" s="2"/>
      <c r="BA1157" s="2"/>
      <c r="BB1157" s="2"/>
      <c r="BC1157" s="2"/>
      <c r="BD1157" s="2"/>
      <c r="BE1157" s="2"/>
      <c r="BF1157" s="2"/>
      <c r="BG1157" s="2"/>
      <c r="BH1157" s="2"/>
      <c r="BI1157" s="2"/>
    </row>
    <row r="1158" spans="1:61" s="133" customFormat="1" ht="27.6" customHeight="1" x14ac:dyDescent="0.2">
      <c r="A1158" s="163">
        <v>1143</v>
      </c>
      <c r="B1158" s="58" t="s">
        <v>786</v>
      </c>
      <c r="C1158" s="9" t="s">
        <v>572</v>
      </c>
      <c r="D1158" s="71">
        <v>23924000</v>
      </c>
      <c r="E1158" s="9"/>
      <c r="F1158" s="9"/>
      <c r="G1158" s="62"/>
      <c r="H1158" s="54">
        <v>7.5</v>
      </c>
      <c r="I1158" s="34"/>
      <c r="J1158" s="34"/>
      <c r="K1158" s="34"/>
      <c r="L1158" s="34"/>
      <c r="M1158" s="34">
        <v>0</v>
      </c>
      <c r="N1158" s="34">
        <v>0</v>
      </c>
      <c r="O1158" s="34"/>
      <c r="P1158" s="34"/>
      <c r="Q1158" s="34"/>
      <c r="R1158" s="34"/>
      <c r="S1158" s="34">
        <f t="shared" si="355"/>
        <v>23924000</v>
      </c>
      <c r="T1158" s="34">
        <v>0</v>
      </c>
      <c r="U1158" s="34">
        <v>0</v>
      </c>
      <c r="V1158" s="34"/>
      <c r="W1158" s="34"/>
      <c r="X1158" s="34"/>
      <c r="Y1158" s="34"/>
      <c r="Z1158" s="34">
        <v>0</v>
      </c>
      <c r="AA1158" s="34">
        <v>0</v>
      </c>
      <c r="AB1158" s="8">
        <f>(S1158*7.5%)/365*92</f>
        <v>452261.91780821915</v>
      </c>
      <c r="AC1158" s="4">
        <f t="shared" si="365"/>
        <v>1794300</v>
      </c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  <c r="AV1158" s="2"/>
      <c r="AW1158" s="2"/>
      <c r="AX1158" s="2"/>
      <c r="AY1158" s="2"/>
      <c r="AZ1158" s="2"/>
      <c r="BA1158" s="2"/>
      <c r="BB1158" s="2"/>
      <c r="BC1158" s="2"/>
      <c r="BD1158" s="2"/>
      <c r="BE1158" s="2"/>
      <c r="BF1158" s="2"/>
      <c r="BG1158" s="2"/>
      <c r="BH1158" s="2"/>
      <c r="BI1158" s="2"/>
    </row>
    <row r="1159" spans="1:61" s="133" customFormat="1" ht="27.6" customHeight="1" x14ac:dyDescent="0.2">
      <c r="A1159" s="163">
        <v>1144</v>
      </c>
      <c r="B1159" s="58" t="s">
        <v>787</v>
      </c>
      <c r="C1159" s="9" t="s">
        <v>572</v>
      </c>
      <c r="D1159" s="71">
        <v>15384000</v>
      </c>
      <c r="E1159" s="9"/>
      <c r="F1159" s="9"/>
      <c r="G1159" s="62"/>
      <c r="H1159" s="54">
        <v>7.5</v>
      </c>
      <c r="I1159" s="34"/>
      <c r="J1159" s="34"/>
      <c r="K1159" s="34"/>
      <c r="L1159" s="34"/>
      <c r="M1159" s="34">
        <v>0</v>
      </c>
      <c r="N1159" s="34">
        <v>0</v>
      </c>
      <c r="O1159" s="34"/>
      <c r="P1159" s="34"/>
      <c r="Q1159" s="34"/>
      <c r="R1159" s="34"/>
      <c r="S1159" s="34">
        <f t="shared" si="355"/>
        <v>15384000</v>
      </c>
      <c r="T1159" s="34">
        <v>0</v>
      </c>
      <c r="U1159" s="34">
        <v>0</v>
      </c>
      <c r="V1159" s="34"/>
      <c r="W1159" s="34"/>
      <c r="X1159" s="34"/>
      <c r="Y1159" s="34"/>
      <c r="Z1159" s="34">
        <v>0</v>
      </c>
      <c r="AA1159" s="34">
        <v>0</v>
      </c>
      <c r="AB1159" s="8">
        <f>(S1159*7.5%)/365*91</f>
        <v>287659.72602739726</v>
      </c>
      <c r="AC1159" s="4">
        <f t="shared" si="365"/>
        <v>1153800</v>
      </c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  <c r="AZ1159" s="2"/>
      <c r="BA1159" s="2"/>
      <c r="BB1159" s="2"/>
      <c r="BC1159" s="2"/>
      <c r="BD1159" s="2"/>
      <c r="BE1159" s="2"/>
      <c r="BF1159" s="2"/>
      <c r="BG1159" s="2"/>
      <c r="BH1159" s="2"/>
      <c r="BI1159" s="2"/>
    </row>
    <row r="1160" spans="1:61" s="133" customFormat="1" ht="27.6" customHeight="1" x14ac:dyDescent="0.2">
      <c r="A1160" s="163">
        <v>1145</v>
      </c>
      <c r="B1160" s="58" t="s">
        <v>787</v>
      </c>
      <c r="C1160" s="9" t="s">
        <v>572</v>
      </c>
      <c r="D1160" s="71">
        <v>121611000</v>
      </c>
      <c r="E1160" s="9"/>
      <c r="F1160" s="9"/>
      <c r="G1160" s="62"/>
      <c r="H1160" s="54">
        <v>7.5</v>
      </c>
      <c r="I1160" s="34"/>
      <c r="J1160" s="34"/>
      <c r="K1160" s="34"/>
      <c r="L1160" s="34"/>
      <c r="M1160" s="34">
        <v>0</v>
      </c>
      <c r="N1160" s="34">
        <v>0</v>
      </c>
      <c r="O1160" s="34"/>
      <c r="P1160" s="34"/>
      <c r="Q1160" s="34"/>
      <c r="R1160" s="34"/>
      <c r="S1160" s="34">
        <f t="shared" si="355"/>
        <v>121611000</v>
      </c>
      <c r="T1160" s="34">
        <v>0</v>
      </c>
      <c r="U1160" s="34">
        <v>0</v>
      </c>
      <c r="V1160" s="34"/>
      <c r="W1160" s="34"/>
      <c r="X1160" s="34"/>
      <c r="Y1160" s="34"/>
      <c r="Z1160" s="34">
        <v>0</v>
      </c>
      <c r="AA1160" s="34">
        <v>0</v>
      </c>
      <c r="AB1160" s="8">
        <f t="shared" ref="AB1160" si="368">(S1160*7.5%)/365*91</f>
        <v>2273959.1095890412</v>
      </c>
      <c r="AC1160" s="4">
        <f t="shared" si="365"/>
        <v>9120825</v>
      </c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  <c r="AZ1160" s="2"/>
      <c r="BA1160" s="2"/>
      <c r="BB1160" s="2"/>
      <c r="BC1160" s="2"/>
      <c r="BD1160" s="2"/>
      <c r="BE1160" s="2"/>
      <c r="BF1160" s="2"/>
      <c r="BG1160" s="2"/>
      <c r="BH1160" s="2"/>
      <c r="BI1160" s="2"/>
    </row>
    <row r="1161" spans="1:61" s="133" customFormat="1" ht="27.6" customHeight="1" x14ac:dyDescent="0.2">
      <c r="A1161" s="163">
        <v>1146</v>
      </c>
      <c r="B1161" s="58" t="s">
        <v>788</v>
      </c>
      <c r="C1161" s="9" t="s">
        <v>789</v>
      </c>
      <c r="D1161" s="71">
        <v>438639000</v>
      </c>
      <c r="E1161" s="9"/>
      <c r="F1161" s="9"/>
      <c r="G1161" s="62"/>
      <c r="H1161" s="54">
        <v>7.5</v>
      </c>
      <c r="I1161" s="34"/>
      <c r="J1161" s="34"/>
      <c r="K1161" s="34"/>
      <c r="L1161" s="34"/>
      <c r="M1161" s="34">
        <v>0</v>
      </c>
      <c r="N1161" s="34">
        <v>0</v>
      </c>
      <c r="O1161" s="34"/>
      <c r="P1161" s="34"/>
      <c r="Q1161" s="34"/>
      <c r="R1161" s="34"/>
      <c r="S1161" s="34">
        <f t="shared" si="355"/>
        <v>438639000</v>
      </c>
      <c r="T1161" s="34">
        <v>0</v>
      </c>
      <c r="U1161" s="34">
        <v>0</v>
      </c>
      <c r="V1161" s="34"/>
      <c r="W1161" s="34"/>
      <c r="X1161" s="34"/>
      <c r="Y1161" s="34"/>
      <c r="Z1161" s="34">
        <v>0</v>
      </c>
      <c r="AA1161" s="34">
        <v>0</v>
      </c>
      <c r="AB1161" s="8">
        <f>(S1161*7.5%)/365*86</f>
        <v>7751291.9178082189</v>
      </c>
      <c r="AC1161" s="4">
        <f t="shared" si="365"/>
        <v>32897925</v>
      </c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/>
      <c r="BH1161" s="2"/>
      <c r="BI1161" s="2"/>
    </row>
    <row r="1162" spans="1:61" s="133" customFormat="1" ht="27.6" customHeight="1" x14ac:dyDescent="0.2">
      <c r="A1162" s="163">
        <v>1147</v>
      </c>
      <c r="B1162" s="58" t="s">
        <v>790</v>
      </c>
      <c r="C1162" s="9" t="s">
        <v>791</v>
      </c>
      <c r="D1162" s="71">
        <v>15544000</v>
      </c>
      <c r="E1162" s="9"/>
      <c r="F1162" s="9"/>
      <c r="G1162" s="62"/>
      <c r="H1162" s="54">
        <v>7.5</v>
      </c>
      <c r="I1162" s="34"/>
      <c r="J1162" s="34"/>
      <c r="K1162" s="34"/>
      <c r="L1162" s="34"/>
      <c r="M1162" s="34">
        <v>0</v>
      </c>
      <c r="N1162" s="34">
        <v>0</v>
      </c>
      <c r="O1162" s="34"/>
      <c r="P1162" s="34"/>
      <c r="Q1162" s="34"/>
      <c r="R1162" s="34"/>
      <c r="S1162" s="34">
        <f t="shared" si="355"/>
        <v>15544000</v>
      </c>
      <c r="T1162" s="34">
        <v>0</v>
      </c>
      <c r="U1162" s="34">
        <v>0</v>
      </c>
      <c r="V1162" s="34"/>
      <c r="W1162" s="34"/>
      <c r="X1162" s="34"/>
      <c r="Y1162" s="34"/>
      <c r="Z1162" s="34">
        <v>0</v>
      </c>
      <c r="AA1162" s="34">
        <v>0</v>
      </c>
      <c r="AB1162" s="8">
        <f>(S1162*7.5%)/365*79</f>
        <v>252323.83561643836</v>
      </c>
      <c r="AC1162" s="4">
        <f t="shared" si="365"/>
        <v>1165800</v>
      </c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  <c r="AV1162" s="2"/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</row>
    <row r="1163" spans="1:61" s="133" customFormat="1" ht="27.6" customHeight="1" x14ac:dyDescent="0.2">
      <c r="A1163" s="163">
        <v>1148</v>
      </c>
      <c r="B1163" s="58" t="s">
        <v>31</v>
      </c>
      <c r="C1163" s="9" t="s">
        <v>791</v>
      </c>
      <c r="D1163" s="71">
        <v>3894000</v>
      </c>
      <c r="E1163" s="9"/>
      <c r="F1163" s="9"/>
      <c r="G1163" s="62"/>
      <c r="H1163" s="54">
        <v>7.5</v>
      </c>
      <c r="I1163" s="34"/>
      <c r="J1163" s="34"/>
      <c r="K1163" s="34"/>
      <c r="L1163" s="34"/>
      <c r="M1163" s="34">
        <v>0</v>
      </c>
      <c r="N1163" s="34">
        <v>0</v>
      </c>
      <c r="O1163" s="34"/>
      <c r="P1163" s="34"/>
      <c r="Q1163" s="34"/>
      <c r="R1163" s="34"/>
      <c r="S1163" s="34">
        <f t="shared" si="355"/>
        <v>3894000</v>
      </c>
      <c r="T1163" s="34">
        <v>0</v>
      </c>
      <c r="U1163" s="34">
        <v>0</v>
      </c>
      <c r="V1163" s="34"/>
      <c r="W1163" s="34"/>
      <c r="X1163" s="34"/>
      <c r="Y1163" s="34"/>
      <c r="Z1163" s="34">
        <v>0</v>
      </c>
      <c r="AA1163" s="34">
        <v>0</v>
      </c>
      <c r="AB1163" s="8">
        <f>(S1163*7.5%)/365*78</f>
        <v>62410.684931506854</v>
      </c>
      <c r="AC1163" s="4">
        <f t="shared" si="365"/>
        <v>292050</v>
      </c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  <c r="AV1163" s="2"/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</row>
    <row r="1164" spans="1:61" s="133" customFormat="1" ht="27.6" customHeight="1" x14ac:dyDescent="0.2">
      <c r="A1164" s="163">
        <v>1149</v>
      </c>
      <c r="B1164" s="58" t="s">
        <v>31</v>
      </c>
      <c r="C1164" s="9" t="s">
        <v>791</v>
      </c>
      <c r="D1164" s="71">
        <v>14752000</v>
      </c>
      <c r="E1164" s="9"/>
      <c r="F1164" s="9"/>
      <c r="G1164" s="62"/>
      <c r="H1164" s="54">
        <v>7.5</v>
      </c>
      <c r="I1164" s="34"/>
      <c r="J1164" s="34"/>
      <c r="K1164" s="34"/>
      <c r="L1164" s="34"/>
      <c r="M1164" s="34">
        <v>0</v>
      </c>
      <c r="N1164" s="34">
        <v>0</v>
      </c>
      <c r="O1164" s="34"/>
      <c r="P1164" s="34"/>
      <c r="Q1164" s="34"/>
      <c r="R1164" s="34"/>
      <c r="S1164" s="34">
        <f t="shared" si="355"/>
        <v>14752000</v>
      </c>
      <c r="T1164" s="34">
        <v>0</v>
      </c>
      <c r="U1164" s="34">
        <v>0</v>
      </c>
      <c r="V1164" s="34"/>
      <c r="W1164" s="34"/>
      <c r="X1164" s="34"/>
      <c r="Y1164" s="34"/>
      <c r="Z1164" s="34">
        <v>0</v>
      </c>
      <c r="AA1164" s="34">
        <v>0</v>
      </c>
      <c r="AB1164" s="8">
        <f>(S1164*7.5%)/365*78</f>
        <v>236436.16438356164</v>
      </c>
      <c r="AC1164" s="4">
        <f t="shared" si="365"/>
        <v>1106400</v>
      </c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</row>
    <row r="1165" spans="1:61" s="133" customFormat="1" ht="27.6" customHeight="1" x14ac:dyDescent="0.2">
      <c r="A1165" s="163">
        <v>1150</v>
      </c>
      <c r="B1165" s="58" t="s">
        <v>792</v>
      </c>
      <c r="C1165" s="9" t="s">
        <v>791</v>
      </c>
      <c r="D1165" s="71">
        <v>9864000</v>
      </c>
      <c r="E1165" s="9"/>
      <c r="F1165" s="9"/>
      <c r="G1165" s="62"/>
      <c r="H1165" s="54">
        <v>7.25</v>
      </c>
      <c r="I1165" s="34"/>
      <c r="J1165" s="34"/>
      <c r="K1165" s="34"/>
      <c r="L1165" s="34"/>
      <c r="M1165" s="34">
        <v>0</v>
      </c>
      <c r="N1165" s="34">
        <v>0</v>
      </c>
      <c r="O1165" s="34"/>
      <c r="P1165" s="34"/>
      <c r="Q1165" s="34"/>
      <c r="R1165" s="34"/>
      <c r="S1165" s="34">
        <f t="shared" si="355"/>
        <v>9864000</v>
      </c>
      <c r="T1165" s="34">
        <v>0</v>
      </c>
      <c r="U1165" s="34">
        <v>0</v>
      </c>
      <c r="V1165" s="34"/>
      <c r="W1165" s="34"/>
      <c r="X1165" s="34"/>
      <c r="Y1165" s="34"/>
      <c r="Z1165" s="34">
        <v>0</v>
      </c>
      <c r="AA1165" s="34">
        <v>0</v>
      </c>
      <c r="AB1165" s="8">
        <f>(S1165*7.25%)/365*76</f>
        <v>148905.86301369863</v>
      </c>
      <c r="AC1165" s="4">
        <f t="shared" si="365"/>
        <v>715140</v>
      </c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</row>
    <row r="1166" spans="1:61" s="133" customFormat="1" ht="27.6" customHeight="1" x14ac:dyDescent="0.2">
      <c r="A1166" s="163">
        <v>1151</v>
      </c>
      <c r="B1166" s="58" t="s">
        <v>792</v>
      </c>
      <c r="C1166" s="9" t="s">
        <v>791</v>
      </c>
      <c r="D1166" s="71">
        <v>1098000</v>
      </c>
      <c r="E1166" s="9"/>
      <c r="F1166" s="9"/>
      <c r="G1166" s="62"/>
      <c r="H1166" s="54">
        <v>7.25</v>
      </c>
      <c r="I1166" s="34"/>
      <c r="J1166" s="34"/>
      <c r="K1166" s="34"/>
      <c r="L1166" s="34"/>
      <c r="M1166" s="34">
        <v>0</v>
      </c>
      <c r="N1166" s="34">
        <v>0</v>
      </c>
      <c r="O1166" s="34"/>
      <c r="P1166" s="34"/>
      <c r="Q1166" s="34"/>
      <c r="R1166" s="34"/>
      <c r="S1166" s="34">
        <f t="shared" si="355"/>
        <v>1098000</v>
      </c>
      <c r="T1166" s="34">
        <v>0</v>
      </c>
      <c r="U1166" s="34">
        <v>0</v>
      </c>
      <c r="V1166" s="34"/>
      <c r="W1166" s="34"/>
      <c r="X1166" s="34"/>
      <c r="Y1166" s="34"/>
      <c r="Z1166" s="34">
        <v>0</v>
      </c>
      <c r="AA1166" s="34">
        <v>0</v>
      </c>
      <c r="AB1166" s="8">
        <f>(S1166*7.25%)/365*76</f>
        <v>16575.287671232876</v>
      </c>
      <c r="AC1166" s="4">
        <f t="shared" si="365"/>
        <v>79605</v>
      </c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</row>
    <row r="1167" spans="1:61" s="133" customFormat="1" ht="27.6" customHeight="1" x14ac:dyDescent="0.2">
      <c r="A1167" s="163">
        <v>1152</v>
      </c>
      <c r="B1167" s="58" t="s">
        <v>795</v>
      </c>
      <c r="C1167" s="9" t="s">
        <v>791</v>
      </c>
      <c r="D1167" s="71">
        <v>145247000</v>
      </c>
      <c r="E1167" s="9"/>
      <c r="F1167" s="9"/>
      <c r="G1167" s="62"/>
      <c r="H1167" s="54">
        <v>7.25</v>
      </c>
      <c r="I1167" s="34"/>
      <c r="J1167" s="34"/>
      <c r="K1167" s="34"/>
      <c r="L1167" s="34"/>
      <c r="M1167" s="34">
        <v>0</v>
      </c>
      <c r="N1167" s="34">
        <v>0</v>
      </c>
      <c r="O1167" s="34"/>
      <c r="P1167" s="34"/>
      <c r="Q1167" s="34"/>
      <c r="R1167" s="34"/>
      <c r="S1167" s="34">
        <f t="shared" si="355"/>
        <v>145247000</v>
      </c>
      <c r="T1167" s="34">
        <v>0</v>
      </c>
      <c r="U1167" s="34">
        <v>0</v>
      </c>
      <c r="V1167" s="34"/>
      <c r="W1167" s="34"/>
      <c r="X1167" s="34"/>
      <c r="Y1167" s="34"/>
      <c r="Z1167" s="34">
        <v>0</v>
      </c>
      <c r="AA1167" s="34">
        <v>0</v>
      </c>
      <c r="AB1167" s="8">
        <f>(S1167*7.25%)/365*55</f>
        <v>1586773.7328767125</v>
      </c>
      <c r="AC1167" s="4">
        <f t="shared" si="365"/>
        <v>10530407.5</v>
      </c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  <c r="AV1167" s="2"/>
      <c r="AW1167" s="2"/>
      <c r="AX1167" s="2"/>
      <c r="AY1167" s="2"/>
      <c r="AZ1167" s="2"/>
      <c r="BA1167" s="2"/>
      <c r="BB1167" s="2"/>
      <c r="BC1167" s="2"/>
      <c r="BD1167" s="2"/>
      <c r="BE1167" s="2"/>
      <c r="BF1167" s="2"/>
      <c r="BG1167" s="2"/>
      <c r="BH1167" s="2"/>
      <c r="BI1167" s="2"/>
    </row>
    <row r="1168" spans="1:61" s="107" customFormat="1" ht="27.6" customHeight="1" x14ac:dyDescent="0.2">
      <c r="A1168" s="114"/>
      <c r="B1168" s="110"/>
      <c r="C1168" s="105" t="s">
        <v>123</v>
      </c>
      <c r="D1168" s="109">
        <f>SUM(D1018:D1167)</f>
        <v>7997578000</v>
      </c>
      <c r="E1168" s="109">
        <f>SUM(E1018:E1024)</f>
        <v>0</v>
      </c>
      <c r="F1168" s="109">
        <f>SUM(F1018:F1024)</f>
        <v>0</v>
      </c>
      <c r="G1168" s="109">
        <f>SUM(G1018:G1024)</f>
        <v>0</v>
      </c>
      <c r="H1168" s="109"/>
      <c r="I1168" s="109">
        <f>SUM(I1018:I1024)</f>
        <v>0</v>
      </c>
      <c r="J1168" s="109">
        <f>SUM(J1018:J1024)</f>
        <v>0</v>
      </c>
      <c r="K1168" s="109">
        <f>SUM(K1018:K1024)</f>
        <v>0</v>
      </c>
      <c r="L1168" s="109">
        <f>SUM(L1018:L1024)</f>
        <v>0</v>
      </c>
      <c r="M1168" s="109">
        <f t="shared" ref="M1168:AC1168" si="369">SUM(M1018:M1167)</f>
        <v>2685877000</v>
      </c>
      <c r="N1168" s="109">
        <f t="shared" si="369"/>
        <v>5331092000</v>
      </c>
      <c r="O1168" s="109">
        <f t="shared" si="369"/>
        <v>0</v>
      </c>
      <c r="P1168" s="109">
        <f t="shared" si="369"/>
        <v>0</v>
      </c>
      <c r="Q1168" s="109">
        <f t="shared" si="369"/>
        <v>0</v>
      </c>
      <c r="R1168" s="109">
        <f t="shared" si="369"/>
        <v>0</v>
      </c>
      <c r="S1168" s="109">
        <f t="shared" si="369"/>
        <v>7997578000</v>
      </c>
      <c r="T1168" s="109">
        <f t="shared" si="369"/>
        <v>0</v>
      </c>
      <c r="U1168" s="109">
        <f t="shared" si="369"/>
        <v>0</v>
      </c>
      <c r="V1168" s="109">
        <f t="shared" si="369"/>
        <v>0</v>
      </c>
      <c r="W1168" s="109">
        <f t="shared" si="369"/>
        <v>0</v>
      </c>
      <c r="X1168" s="109">
        <f t="shared" si="369"/>
        <v>0</v>
      </c>
      <c r="Y1168" s="109">
        <f t="shared" si="369"/>
        <v>0</v>
      </c>
      <c r="Z1168" s="109">
        <f t="shared" si="369"/>
        <v>537175400</v>
      </c>
      <c r="AA1168" s="109">
        <f t="shared" si="369"/>
        <v>103207338.84931512</v>
      </c>
      <c r="AB1168" s="109">
        <f t="shared" si="369"/>
        <v>490665718.23972613</v>
      </c>
      <c r="AC1168" s="109">
        <f t="shared" si="369"/>
        <v>589457897.5</v>
      </c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  <c r="AV1168" s="2"/>
      <c r="AW1168" s="2"/>
      <c r="AX1168" s="2"/>
      <c r="AY1168" s="2"/>
      <c r="AZ1168" s="2"/>
      <c r="BA1168" s="2"/>
      <c r="BB1168" s="2"/>
      <c r="BC1168" s="2"/>
      <c r="BD1168" s="2"/>
      <c r="BE1168" s="2"/>
      <c r="BF1168" s="2"/>
      <c r="BG1168" s="2"/>
      <c r="BH1168" s="2"/>
      <c r="BI1168" s="2"/>
    </row>
    <row r="1169" spans="1:61" s="145" customFormat="1" ht="27.6" customHeight="1" x14ac:dyDescent="0.2">
      <c r="A1169" s="164">
        <v>1153</v>
      </c>
      <c r="B1169" s="139" t="s">
        <v>643</v>
      </c>
      <c r="C1169" s="9" t="s">
        <v>642</v>
      </c>
      <c r="D1169" s="71">
        <v>57399000</v>
      </c>
      <c r="E1169" s="146"/>
      <c r="F1169" s="146"/>
      <c r="G1169" s="146"/>
      <c r="H1169" s="54">
        <v>6.75</v>
      </c>
      <c r="I1169" s="146"/>
      <c r="J1169" s="146"/>
      <c r="K1169" s="146"/>
      <c r="L1169" s="146"/>
      <c r="M1169" s="141">
        <v>0</v>
      </c>
      <c r="N1169" s="141">
        <f>D1169</f>
        <v>57399000</v>
      </c>
      <c r="O1169" s="141"/>
      <c r="P1169" s="141"/>
      <c r="Q1169" s="141"/>
      <c r="R1169" s="141"/>
      <c r="S1169" s="141">
        <f>N1169</f>
        <v>57399000</v>
      </c>
      <c r="T1169" s="141">
        <v>0</v>
      </c>
      <c r="U1169" s="141">
        <v>0</v>
      </c>
      <c r="V1169" s="141"/>
      <c r="W1169" s="141"/>
      <c r="X1169" s="141"/>
      <c r="Y1169" s="141"/>
      <c r="Z1169" s="141">
        <v>0</v>
      </c>
      <c r="AA1169" s="34">
        <f>AB1169/365*306</f>
        <v>3248154.3698630137</v>
      </c>
      <c r="AB1169" s="8">
        <f>N1169*6.75/100</f>
        <v>3874432.5</v>
      </c>
      <c r="AC1169" s="4">
        <f t="shared" ref="AC1169:AC1232" si="370">S1169*H1169%</f>
        <v>3874432.5000000005</v>
      </c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  <c r="AZ1169" s="2"/>
      <c r="BA1169" s="2"/>
      <c r="BB1169" s="2"/>
      <c r="BC1169" s="2"/>
      <c r="BD1169" s="2"/>
      <c r="BE1169" s="2"/>
      <c r="BF1169" s="2"/>
      <c r="BG1169" s="2"/>
      <c r="BH1169" s="2"/>
      <c r="BI1169" s="2"/>
    </row>
    <row r="1170" spans="1:61" s="145" customFormat="1" ht="27.6" customHeight="1" x14ac:dyDescent="0.2">
      <c r="A1170" s="164">
        <v>1154</v>
      </c>
      <c r="B1170" s="139" t="s">
        <v>643</v>
      </c>
      <c r="C1170" s="9" t="s">
        <v>642</v>
      </c>
      <c r="D1170" s="71">
        <v>164331000</v>
      </c>
      <c r="E1170" s="146"/>
      <c r="F1170" s="146"/>
      <c r="G1170" s="146"/>
      <c r="H1170" s="54">
        <v>6.75</v>
      </c>
      <c r="I1170" s="146"/>
      <c r="J1170" s="146"/>
      <c r="K1170" s="146"/>
      <c r="L1170" s="146"/>
      <c r="M1170" s="141">
        <v>0</v>
      </c>
      <c r="N1170" s="141">
        <f t="shared" ref="N1170" si="371">D1170</f>
        <v>164331000</v>
      </c>
      <c r="O1170" s="141"/>
      <c r="P1170" s="141"/>
      <c r="Q1170" s="141"/>
      <c r="R1170" s="141"/>
      <c r="S1170" s="141">
        <f t="shared" ref="S1170:S1213" si="372">N1170</f>
        <v>164331000</v>
      </c>
      <c r="T1170" s="141">
        <v>0</v>
      </c>
      <c r="U1170" s="141">
        <v>0</v>
      </c>
      <c r="V1170" s="141"/>
      <c r="W1170" s="141"/>
      <c r="X1170" s="141"/>
      <c r="Y1170" s="141"/>
      <c r="Z1170" s="141">
        <v>0</v>
      </c>
      <c r="AA1170" s="34">
        <f t="shared" ref="AA1170" si="373">AB1170/365*306</f>
        <v>9299333.7123287674</v>
      </c>
      <c r="AB1170" s="8">
        <f>N1170*6.75/100</f>
        <v>11092342.5</v>
      </c>
      <c r="AC1170" s="4">
        <f t="shared" si="370"/>
        <v>11092342.5</v>
      </c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  <c r="AZ1170" s="2"/>
      <c r="BA1170" s="2"/>
      <c r="BB1170" s="2"/>
      <c r="BC1170" s="2"/>
      <c r="BD1170" s="2"/>
      <c r="BE1170" s="2"/>
      <c r="BF1170" s="2"/>
      <c r="BG1170" s="2"/>
      <c r="BH1170" s="2"/>
      <c r="BI1170" s="2"/>
    </row>
    <row r="1171" spans="1:61" s="145" customFormat="1" ht="27.6" customHeight="1" x14ac:dyDescent="0.2">
      <c r="A1171" s="164">
        <v>1155</v>
      </c>
      <c r="B1171" s="139" t="s">
        <v>649</v>
      </c>
      <c r="C1171" s="9" t="s">
        <v>642</v>
      </c>
      <c r="D1171" s="71">
        <v>22711000</v>
      </c>
      <c r="E1171" s="146"/>
      <c r="F1171" s="146"/>
      <c r="G1171" s="146"/>
      <c r="H1171" s="54">
        <v>8.75</v>
      </c>
      <c r="I1171" s="146"/>
      <c r="J1171" s="146"/>
      <c r="K1171" s="146"/>
      <c r="L1171" s="146"/>
      <c r="M1171" s="141">
        <v>0</v>
      </c>
      <c r="N1171" s="141">
        <f t="shared" ref="N1171:N1213" si="374">D1171</f>
        <v>22711000</v>
      </c>
      <c r="O1171" s="141"/>
      <c r="P1171" s="141"/>
      <c r="Q1171" s="141"/>
      <c r="R1171" s="141"/>
      <c r="S1171" s="141">
        <f t="shared" si="372"/>
        <v>22711000</v>
      </c>
      <c r="T1171" s="141">
        <v>0</v>
      </c>
      <c r="U1171" s="141">
        <v>0</v>
      </c>
      <c r="V1171" s="141"/>
      <c r="W1171" s="141"/>
      <c r="X1171" s="141"/>
      <c r="Y1171" s="141"/>
      <c r="Z1171" s="141">
        <v>0</v>
      </c>
      <c r="AA1171" s="34">
        <f>AB1171/365*229</f>
        <v>1246771.6780821919</v>
      </c>
      <c r="AB1171" s="8">
        <f>N1171*8.75/100</f>
        <v>1987212.5</v>
      </c>
      <c r="AC1171" s="4">
        <f t="shared" si="370"/>
        <v>1987212.4999999998</v>
      </c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  <c r="AZ1171" s="2"/>
      <c r="BA1171" s="2"/>
      <c r="BB1171" s="2"/>
      <c r="BC1171" s="2"/>
      <c r="BD1171" s="2"/>
      <c r="BE1171" s="2"/>
      <c r="BF1171" s="2"/>
      <c r="BG1171" s="2"/>
      <c r="BH1171" s="2"/>
      <c r="BI1171" s="2"/>
    </row>
    <row r="1172" spans="1:61" s="145" customFormat="1" ht="27.6" customHeight="1" x14ac:dyDescent="0.2">
      <c r="A1172" s="164">
        <v>1156</v>
      </c>
      <c r="B1172" s="139" t="s">
        <v>650</v>
      </c>
      <c r="C1172" s="9" t="s">
        <v>642</v>
      </c>
      <c r="D1172" s="71">
        <v>18285000</v>
      </c>
      <c r="E1172" s="146"/>
      <c r="F1172" s="146"/>
      <c r="G1172" s="146"/>
      <c r="H1172" s="54">
        <v>8.75</v>
      </c>
      <c r="I1172" s="146"/>
      <c r="J1172" s="146"/>
      <c r="K1172" s="146"/>
      <c r="L1172" s="146"/>
      <c r="M1172" s="141">
        <v>0</v>
      </c>
      <c r="N1172" s="141">
        <f t="shared" si="374"/>
        <v>18285000</v>
      </c>
      <c r="O1172" s="141"/>
      <c r="P1172" s="141"/>
      <c r="Q1172" s="141"/>
      <c r="R1172" s="141"/>
      <c r="S1172" s="141">
        <f t="shared" si="372"/>
        <v>18285000</v>
      </c>
      <c r="T1172" s="141">
        <v>0</v>
      </c>
      <c r="U1172" s="141">
        <v>0</v>
      </c>
      <c r="V1172" s="141"/>
      <c r="W1172" s="141"/>
      <c r="X1172" s="141"/>
      <c r="Y1172" s="141"/>
      <c r="Z1172" s="141">
        <v>0</v>
      </c>
      <c r="AA1172" s="34">
        <f>AB1172/365*226</f>
        <v>990646.23287671222</v>
      </c>
      <c r="AB1172" s="8">
        <f t="shared" ref="AB1172:AB1175" si="375">N1172*8.75/100</f>
        <v>1599937.5</v>
      </c>
      <c r="AC1172" s="4">
        <f t="shared" si="370"/>
        <v>1599937.5</v>
      </c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  <c r="AV1172" s="2"/>
      <c r="AW1172" s="2"/>
      <c r="AX1172" s="2"/>
      <c r="AY1172" s="2"/>
      <c r="AZ1172" s="2"/>
      <c r="BA1172" s="2"/>
      <c r="BB1172" s="2"/>
      <c r="BC1172" s="2"/>
      <c r="BD1172" s="2"/>
      <c r="BE1172" s="2"/>
      <c r="BF1172" s="2"/>
      <c r="BG1172" s="2"/>
      <c r="BH1172" s="2"/>
      <c r="BI1172" s="2"/>
    </row>
    <row r="1173" spans="1:61" s="145" customFormat="1" ht="27.6" customHeight="1" x14ac:dyDescent="0.2">
      <c r="A1173" s="164">
        <v>1157</v>
      </c>
      <c r="B1173" s="139" t="s">
        <v>658</v>
      </c>
      <c r="C1173" s="9" t="s">
        <v>642</v>
      </c>
      <c r="D1173" s="71">
        <v>105517000</v>
      </c>
      <c r="E1173" s="146"/>
      <c r="F1173" s="146"/>
      <c r="G1173" s="146"/>
      <c r="H1173" s="54">
        <v>8.75</v>
      </c>
      <c r="I1173" s="146"/>
      <c r="J1173" s="146"/>
      <c r="K1173" s="146"/>
      <c r="L1173" s="146"/>
      <c r="M1173" s="141">
        <v>0</v>
      </c>
      <c r="N1173" s="141">
        <f t="shared" si="374"/>
        <v>105517000</v>
      </c>
      <c r="O1173" s="141"/>
      <c r="P1173" s="141"/>
      <c r="Q1173" s="141"/>
      <c r="R1173" s="141"/>
      <c r="S1173" s="141">
        <f t="shared" si="372"/>
        <v>105517000</v>
      </c>
      <c r="T1173" s="141">
        <v>0</v>
      </c>
      <c r="U1173" s="141">
        <v>0</v>
      </c>
      <c r="V1173" s="141"/>
      <c r="W1173" s="141"/>
      <c r="X1173" s="141"/>
      <c r="Y1173" s="141"/>
      <c r="Z1173" s="141">
        <v>0</v>
      </c>
      <c r="AA1173" s="34">
        <f>AB1173/365*187</f>
        <v>4730197.0205479451</v>
      </c>
      <c r="AB1173" s="8">
        <f t="shared" si="375"/>
        <v>9232737.5</v>
      </c>
      <c r="AC1173" s="4">
        <f t="shared" si="370"/>
        <v>9232737.5</v>
      </c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  <c r="AV1173" s="2"/>
      <c r="AW1173" s="2"/>
      <c r="AX1173" s="2"/>
      <c r="AY1173" s="2"/>
      <c r="AZ1173" s="2"/>
      <c r="BA1173" s="2"/>
      <c r="BB1173" s="2"/>
      <c r="BC1173" s="2"/>
      <c r="BD1173" s="2"/>
      <c r="BE1173" s="2"/>
      <c r="BF1173" s="2"/>
      <c r="BG1173" s="2"/>
      <c r="BH1173" s="2"/>
      <c r="BI1173" s="2"/>
    </row>
    <row r="1174" spans="1:61" s="145" customFormat="1" ht="27.6" customHeight="1" x14ac:dyDescent="0.2">
      <c r="A1174" s="164">
        <v>1158</v>
      </c>
      <c r="B1174" s="139" t="s">
        <v>658</v>
      </c>
      <c r="C1174" s="9" t="s">
        <v>642</v>
      </c>
      <c r="D1174" s="71">
        <v>140134000</v>
      </c>
      <c r="E1174" s="146"/>
      <c r="F1174" s="146"/>
      <c r="G1174" s="146"/>
      <c r="H1174" s="54">
        <v>8.75</v>
      </c>
      <c r="I1174" s="146"/>
      <c r="J1174" s="146"/>
      <c r="K1174" s="146"/>
      <c r="L1174" s="146"/>
      <c r="M1174" s="141">
        <v>0</v>
      </c>
      <c r="N1174" s="141">
        <f t="shared" si="374"/>
        <v>140134000</v>
      </c>
      <c r="O1174" s="141"/>
      <c r="P1174" s="141"/>
      <c r="Q1174" s="141"/>
      <c r="R1174" s="141"/>
      <c r="S1174" s="141">
        <f t="shared" si="372"/>
        <v>140134000</v>
      </c>
      <c r="T1174" s="141">
        <v>0</v>
      </c>
      <c r="U1174" s="141">
        <v>0</v>
      </c>
      <c r="V1174" s="141"/>
      <c r="W1174" s="141"/>
      <c r="X1174" s="141"/>
      <c r="Y1174" s="141"/>
      <c r="Z1174" s="141">
        <v>0</v>
      </c>
      <c r="AA1174" s="34">
        <f t="shared" ref="AA1174:AA1175" si="376">AB1174/365*187</f>
        <v>6282034.4520547949</v>
      </c>
      <c r="AB1174" s="8">
        <f t="shared" si="375"/>
        <v>12261725</v>
      </c>
      <c r="AC1174" s="4">
        <f t="shared" si="370"/>
        <v>12261725</v>
      </c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/>
      <c r="AY1174" s="2"/>
      <c r="AZ1174" s="2"/>
      <c r="BA1174" s="2"/>
      <c r="BB1174" s="2"/>
      <c r="BC1174" s="2"/>
      <c r="BD1174" s="2"/>
      <c r="BE1174" s="2"/>
      <c r="BF1174" s="2"/>
      <c r="BG1174" s="2"/>
      <c r="BH1174" s="2"/>
      <c r="BI1174" s="2"/>
    </row>
    <row r="1175" spans="1:61" s="145" customFormat="1" ht="27.6" customHeight="1" x14ac:dyDescent="0.2">
      <c r="A1175" s="164">
        <v>1159</v>
      </c>
      <c r="B1175" s="139" t="s">
        <v>658</v>
      </c>
      <c r="C1175" s="9" t="s">
        <v>642</v>
      </c>
      <c r="D1175" s="71">
        <v>430891000</v>
      </c>
      <c r="E1175" s="146"/>
      <c r="F1175" s="146"/>
      <c r="G1175" s="146"/>
      <c r="H1175" s="54">
        <v>8.75</v>
      </c>
      <c r="I1175" s="146"/>
      <c r="J1175" s="146"/>
      <c r="K1175" s="146"/>
      <c r="L1175" s="146"/>
      <c r="M1175" s="141">
        <v>0</v>
      </c>
      <c r="N1175" s="141">
        <f t="shared" si="374"/>
        <v>430891000</v>
      </c>
      <c r="O1175" s="141"/>
      <c r="P1175" s="141"/>
      <c r="Q1175" s="141"/>
      <c r="R1175" s="141"/>
      <c r="S1175" s="141">
        <f t="shared" si="372"/>
        <v>430891000</v>
      </c>
      <c r="T1175" s="141">
        <v>0</v>
      </c>
      <c r="U1175" s="141">
        <v>0</v>
      </c>
      <c r="V1175" s="141"/>
      <c r="W1175" s="141"/>
      <c r="X1175" s="141"/>
      <c r="Y1175" s="141"/>
      <c r="Z1175" s="141">
        <v>0</v>
      </c>
      <c r="AA1175" s="34">
        <f t="shared" si="376"/>
        <v>19316312.294520546</v>
      </c>
      <c r="AB1175" s="8">
        <f t="shared" si="375"/>
        <v>37702962.5</v>
      </c>
      <c r="AC1175" s="4">
        <f t="shared" si="370"/>
        <v>37702962.5</v>
      </c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</row>
    <row r="1176" spans="1:61" s="145" customFormat="1" ht="27.6" customHeight="1" x14ac:dyDescent="0.2">
      <c r="A1176" s="164">
        <v>1160</v>
      </c>
      <c r="B1176" s="139" t="s">
        <v>661</v>
      </c>
      <c r="C1176" s="9" t="s">
        <v>642</v>
      </c>
      <c r="D1176" s="71">
        <v>354121000</v>
      </c>
      <c r="E1176" s="146"/>
      <c r="F1176" s="146"/>
      <c r="G1176" s="146"/>
      <c r="H1176" s="54">
        <v>7.5</v>
      </c>
      <c r="I1176" s="146"/>
      <c r="J1176" s="146"/>
      <c r="K1176" s="146"/>
      <c r="L1176" s="146"/>
      <c r="M1176" s="141">
        <v>0</v>
      </c>
      <c r="N1176" s="141">
        <f t="shared" si="374"/>
        <v>354121000</v>
      </c>
      <c r="O1176" s="141"/>
      <c r="P1176" s="141"/>
      <c r="Q1176" s="141"/>
      <c r="R1176" s="141"/>
      <c r="S1176" s="141">
        <f t="shared" si="372"/>
        <v>354121000</v>
      </c>
      <c r="T1176" s="141">
        <v>0</v>
      </c>
      <c r="U1176" s="141">
        <v>0</v>
      </c>
      <c r="V1176" s="141"/>
      <c r="W1176" s="141"/>
      <c r="X1176" s="141"/>
      <c r="Y1176" s="141"/>
      <c r="Z1176" s="141">
        <v>0</v>
      </c>
      <c r="AA1176" s="34">
        <f>AB1176/365*162</f>
        <v>11787863.424657535</v>
      </c>
      <c r="AB1176" s="8">
        <f>N1176*7.5/100</f>
        <v>26559075</v>
      </c>
      <c r="AC1176" s="4">
        <f t="shared" si="370"/>
        <v>26559075</v>
      </c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  <c r="AZ1176" s="2"/>
      <c r="BA1176" s="2"/>
      <c r="BB1176" s="2"/>
      <c r="BC1176" s="2"/>
      <c r="BD1176" s="2"/>
      <c r="BE1176" s="2"/>
      <c r="BF1176" s="2"/>
      <c r="BG1176" s="2"/>
      <c r="BH1176" s="2"/>
      <c r="BI1176" s="2"/>
    </row>
    <row r="1177" spans="1:61" s="145" customFormat="1" ht="27.6" customHeight="1" x14ac:dyDescent="0.2">
      <c r="A1177" s="164">
        <v>1161</v>
      </c>
      <c r="B1177" s="139" t="s">
        <v>661</v>
      </c>
      <c r="C1177" s="9" t="s">
        <v>642</v>
      </c>
      <c r="D1177" s="71">
        <v>627357000</v>
      </c>
      <c r="E1177" s="146"/>
      <c r="F1177" s="146"/>
      <c r="G1177" s="146"/>
      <c r="H1177" s="54">
        <v>7.5</v>
      </c>
      <c r="I1177" s="146"/>
      <c r="J1177" s="146"/>
      <c r="K1177" s="146"/>
      <c r="L1177" s="146"/>
      <c r="M1177" s="141">
        <v>0</v>
      </c>
      <c r="N1177" s="141">
        <f t="shared" si="374"/>
        <v>627357000</v>
      </c>
      <c r="O1177" s="141"/>
      <c r="P1177" s="141"/>
      <c r="Q1177" s="141"/>
      <c r="R1177" s="141"/>
      <c r="S1177" s="141">
        <f t="shared" si="372"/>
        <v>627357000</v>
      </c>
      <c r="T1177" s="141">
        <v>0</v>
      </c>
      <c r="U1177" s="141">
        <v>0</v>
      </c>
      <c r="V1177" s="141"/>
      <c r="W1177" s="141"/>
      <c r="X1177" s="141"/>
      <c r="Y1177" s="141"/>
      <c r="Z1177" s="141">
        <v>0</v>
      </c>
      <c r="AA1177" s="34">
        <f t="shared" ref="AA1177" si="377">AB1177/365*162</f>
        <v>20883253.561643835</v>
      </c>
      <c r="AB1177" s="8">
        <f t="shared" ref="AB1177" si="378">N1177*7.5/100</f>
        <v>47051775</v>
      </c>
      <c r="AC1177" s="4">
        <f t="shared" si="370"/>
        <v>47051775</v>
      </c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  <c r="AV1177" s="2"/>
      <c r="AW1177" s="2"/>
      <c r="AX1177" s="2"/>
      <c r="AY1177" s="2"/>
      <c r="AZ1177" s="2"/>
      <c r="BA1177" s="2"/>
      <c r="BB1177" s="2"/>
      <c r="BC1177" s="2"/>
      <c r="BD1177" s="2"/>
      <c r="BE1177" s="2"/>
      <c r="BF1177" s="2"/>
      <c r="BG1177" s="2"/>
      <c r="BH1177" s="2"/>
      <c r="BI1177" s="2"/>
    </row>
    <row r="1178" spans="1:61" s="145" customFormat="1" ht="27.6" customHeight="1" x14ac:dyDescent="0.2">
      <c r="A1178" s="164">
        <v>1162</v>
      </c>
      <c r="B1178" s="139" t="s">
        <v>662</v>
      </c>
      <c r="C1178" s="9" t="s">
        <v>642</v>
      </c>
      <c r="D1178" s="71">
        <v>16114000</v>
      </c>
      <c r="E1178" s="146"/>
      <c r="F1178" s="146"/>
      <c r="G1178" s="146"/>
      <c r="H1178" s="54">
        <v>7.5</v>
      </c>
      <c r="I1178" s="146"/>
      <c r="J1178" s="146"/>
      <c r="K1178" s="146"/>
      <c r="L1178" s="146"/>
      <c r="M1178" s="141">
        <v>0</v>
      </c>
      <c r="N1178" s="141">
        <f t="shared" si="374"/>
        <v>16114000</v>
      </c>
      <c r="O1178" s="141"/>
      <c r="P1178" s="141"/>
      <c r="Q1178" s="141"/>
      <c r="R1178" s="141"/>
      <c r="S1178" s="141">
        <f t="shared" si="372"/>
        <v>16114000</v>
      </c>
      <c r="T1178" s="141">
        <v>0</v>
      </c>
      <c r="U1178" s="141">
        <v>0</v>
      </c>
      <c r="V1178" s="141"/>
      <c r="W1178" s="141"/>
      <c r="X1178" s="141"/>
      <c r="Y1178" s="141"/>
      <c r="Z1178" s="141">
        <v>0</v>
      </c>
      <c r="AA1178" s="34">
        <f>AB1178/365*154</f>
        <v>509908.76712328766</v>
      </c>
      <c r="AB1178" s="8">
        <f>N1178*7.5/100</f>
        <v>1208550</v>
      </c>
      <c r="AC1178" s="4">
        <f t="shared" si="370"/>
        <v>1208550</v>
      </c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</row>
    <row r="1179" spans="1:61" s="145" customFormat="1" ht="27.6" customHeight="1" x14ac:dyDescent="0.2">
      <c r="A1179" s="164">
        <v>1163</v>
      </c>
      <c r="B1179" s="139" t="s">
        <v>663</v>
      </c>
      <c r="C1179" s="9" t="s">
        <v>642</v>
      </c>
      <c r="D1179" s="71">
        <v>49573000</v>
      </c>
      <c r="E1179" s="146"/>
      <c r="F1179" s="146"/>
      <c r="G1179" s="146"/>
      <c r="H1179" s="54">
        <v>7.25</v>
      </c>
      <c r="I1179" s="146"/>
      <c r="J1179" s="146"/>
      <c r="K1179" s="146"/>
      <c r="L1179" s="146"/>
      <c r="M1179" s="141">
        <v>0</v>
      </c>
      <c r="N1179" s="141">
        <f t="shared" si="374"/>
        <v>49573000</v>
      </c>
      <c r="O1179" s="141"/>
      <c r="P1179" s="141"/>
      <c r="Q1179" s="141"/>
      <c r="R1179" s="141"/>
      <c r="S1179" s="141">
        <f t="shared" si="372"/>
        <v>49573000</v>
      </c>
      <c r="T1179" s="141">
        <v>0</v>
      </c>
      <c r="U1179" s="141">
        <v>0</v>
      </c>
      <c r="V1179" s="141"/>
      <c r="W1179" s="141"/>
      <c r="X1179" s="141"/>
      <c r="Y1179" s="141"/>
      <c r="Z1179" s="141">
        <v>0</v>
      </c>
      <c r="AA1179" s="34">
        <f>AB1179/365*153</f>
        <v>1506543.8424657537</v>
      </c>
      <c r="AB1179" s="8">
        <f>N1179*7.25/100</f>
        <v>3594042.5</v>
      </c>
      <c r="AC1179" s="4">
        <f t="shared" si="370"/>
        <v>3594042.4999999995</v>
      </c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</row>
    <row r="1180" spans="1:61" s="145" customFormat="1" ht="27.6" customHeight="1" x14ac:dyDescent="0.2">
      <c r="A1180" s="164">
        <v>1164</v>
      </c>
      <c r="B1180" s="139" t="s">
        <v>663</v>
      </c>
      <c r="C1180" s="9" t="s">
        <v>642</v>
      </c>
      <c r="D1180" s="71">
        <v>24691000</v>
      </c>
      <c r="E1180" s="146"/>
      <c r="F1180" s="146"/>
      <c r="G1180" s="146"/>
      <c r="H1180" s="54">
        <v>7.25</v>
      </c>
      <c r="I1180" s="146"/>
      <c r="J1180" s="146"/>
      <c r="K1180" s="146"/>
      <c r="L1180" s="146"/>
      <c r="M1180" s="141">
        <v>0</v>
      </c>
      <c r="N1180" s="141">
        <f t="shared" si="374"/>
        <v>24691000</v>
      </c>
      <c r="O1180" s="141"/>
      <c r="P1180" s="141"/>
      <c r="Q1180" s="141"/>
      <c r="R1180" s="141"/>
      <c r="S1180" s="141">
        <f t="shared" si="372"/>
        <v>24691000</v>
      </c>
      <c r="T1180" s="141">
        <v>0</v>
      </c>
      <c r="U1180" s="141">
        <v>0</v>
      </c>
      <c r="V1180" s="141"/>
      <c r="W1180" s="141"/>
      <c r="X1180" s="141"/>
      <c r="Y1180" s="141"/>
      <c r="Z1180" s="141">
        <v>0</v>
      </c>
      <c r="AA1180" s="34">
        <f>AB1180/365*153</f>
        <v>750369.6369863014</v>
      </c>
      <c r="AB1180" s="8">
        <f>N1180*7.25/100</f>
        <v>1790097.5</v>
      </c>
      <c r="AC1180" s="4">
        <f t="shared" si="370"/>
        <v>1790097.4999999998</v>
      </c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</row>
    <row r="1181" spans="1:61" s="145" customFormat="1" ht="27.6" customHeight="1" x14ac:dyDescent="0.2">
      <c r="A1181" s="164">
        <v>1165</v>
      </c>
      <c r="B1181" s="139" t="s">
        <v>666</v>
      </c>
      <c r="C1181" s="9" t="s">
        <v>642</v>
      </c>
      <c r="D1181" s="71">
        <v>77912000</v>
      </c>
      <c r="E1181" s="146"/>
      <c r="F1181" s="146"/>
      <c r="G1181" s="146"/>
      <c r="H1181" s="54">
        <v>7.25</v>
      </c>
      <c r="I1181" s="146"/>
      <c r="J1181" s="146"/>
      <c r="K1181" s="146"/>
      <c r="L1181" s="146"/>
      <c r="M1181" s="141">
        <v>0</v>
      </c>
      <c r="N1181" s="141">
        <f t="shared" si="374"/>
        <v>77912000</v>
      </c>
      <c r="O1181" s="141"/>
      <c r="P1181" s="141"/>
      <c r="Q1181" s="141"/>
      <c r="R1181" s="141"/>
      <c r="S1181" s="141">
        <f t="shared" si="372"/>
        <v>77912000</v>
      </c>
      <c r="T1181" s="141">
        <v>0</v>
      </c>
      <c r="U1181" s="141">
        <v>0</v>
      </c>
      <c r="V1181" s="141"/>
      <c r="W1181" s="141"/>
      <c r="X1181" s="141"/>
      <c r="Y1181" s="141"/>
      <c r="Z1181" s="141">
        <v>0</v>
      </c>
      <c r="AA1181" s="34">
        <f>AB1181/365*122</f>
        <v>1888031.8904109588</v>
      </c>
      <c r="AB1181" s="8">
        <f>N1181*7.25/100</f>
        <v>5648620</v>
      </c>
      <c r="AC1181" s="4">
        <f t="shared" si="370"/>
        <v>5648620</v>
      </c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</row>
    <row r="1182" spans="1:61" s="145" customFormat="1" ht="27.6" customHeight="1" x14ac:dyDescent="0.2">
      <c r="A1182" s="164">
        <v>1166</v>
      </c>
      <c r="B1182" s="139" t="s">
        <v>670</v>
      </c>
      <c r="C1182" s="9" t="s">
        <v>642</v>
      </c>
      <c r="D1182" s="71">
        <v>27821000</v>
      </c>
      <c r="E1182" s="146"/>
      <c r="F1182" s="146"/>
      <c r="G1182" s="146"/>
      <c r="H1182" s="54">
        <v>7.25</v>
      </c>
      <c r="I1182" s="146"/>
      <c r="J1182" s="146"/>
      <c r="K1182" s="146"/>
      <c r="L1182" s="146"/>
      <c r="M1182" s="141">
        <v>0</v>
      </c>
      <c r="N1182" s="141">
        <f t="shared" si="374"/>
        <v>27821000</v>
      </c>
      <c r="O1182" s="141"/>
      <c r="P1182" s="141"/>
      <c r="Q1182" s="141"/>
      <c r="R1182" s="141"/>
      <c r="S1182" s="141">
        <f t="shared" si="372"/>
        <v>27821000</v>
      </c>
      <c r="T1182" s="141">
        <v>0</v>
      </c>
      <c r="U1182" s="141">
        <v>0</v>
      </c>
      <c r="V1182" s="141"/>
      <c r="W1182" s="141"/>
      <c r="X1182" s="141"/>
      <c r="Y1182" s="141"/>
      <c r="Z1182" s="141">
        <v>0</v>
      </c>
      <c r="AA1182" s="34">
        <f>AB1182/365*90</f>
        <v>497348.01369863009</v>
      </c>
      <c r="AB1182" s="8">
        <f t="shared" ref="AB1182:AB1184" si="379">N1182*7.25/100</f>
        <v>2017022.5</v>
      </c>
      <c r="AC1182" s="4">
        <f t="shared" si="370"/>
        <v>2017022.4999999998</v>
      </c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  <c r="AV1182" s="2"/>
      <c r="AW1182" s="2"/>
      <c r="AX1182" s="2"/>
      <c r="AY1182" s="2"/>
      <c r="AZ1182" s="2"/>
      <c r="BA1182" s="2"/>
      <c r="BB1182" s="2"/>
      <c r="BC1182" s="2"/>
      <c r="BD1182" s="2"/>
      <c r="BE1182" s="2"/>
      <c r="BF1182" s="2"/>
      <c r="BG1182" s="2"/>
      <c r="BH1182" s="2"/>
      <c r="BI1182" s="2"/>
    </row>
    <row r="1183" spans="1:61" s="145" customFormat="1" ht="27.6" customHeight="1" x14ac:dyDescent="0.2">
      <c r="A1183" s="164">
        <v>1167</v>
      </c>
      <c r="B1183" s="139" t="s">
        <v>670</v>
      </c>
      <c r="C1183" s="9" t="s">
        <v>642</v>
      </c>
      <c r="D1183" s="71">
        <v>7668000</v>
      </c>
      <c r="E1183" s="146"/>
      <c r="F1183" s="146"/>
      <c r="G1183" s="146"/>
      <c r="H1183" s="54">
        <v>7.25</v>
      </c>
      <c r="I1183" s="146"/>
      <c r="J1183" s="146"/>
      <c r="K1183" s="146"/>
      <c r="L1183" s="146"/>
      <c r="M1183" s="141">
        <v>0</v>
      </c>
      <c r="N1183" s="141">
        <f t="shared" si="374"/>
        <v>7668000</v>
      </c>
      <c r="O1183" s="141"/>
      <c r="P1183" s="141"/>
      <c r="Q1183" s="141"/>
      <c r="R1183" s="141"/>
      <c r="S1183" s="141">
        <f t="shared" si="372"/>
        <v>7668000</v>
      </c>
      <c r="T1183" s="141">
        <v>0</v>
      </c>
      <c r="U1183" s="141">
        <v>0</v>
      </c>
      <c r="V1183" s="141"/>
      <c r="W1183" s="141"/>
      <c r="X1183" s="141"/>
      <c r="Y1183" s="141"/>
      <c r="Z1183" s="141">
        <v>0</v>
      </c>
      <c r="AA1183" s="34">
        <f t="shared" ref="AA1183" si="380">AB1183/365*90</f>
        <v>137078.63013698629</v>
      </c>
      <c r="AB1183" s="8">
        <f t="shared" si="379"/>
        <v>555930</v>
      </c>
      <c r="AC1183" s="4">
        <f t="shared" si="370"/>
        <v>555930</v>
      </c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  <c r="AV1183" s="2"/>
      <c r="AW1183" s="2"/>
      <c r="AX1183" s="2"/>
      <c r="AY1183" s="2"/>
      <c r="AZ1183" s="2"/>
      <c r="BA1183" s="2"/>
      <c r="BB1183" s="2"/>
      <c r="BC1183" s="2"/>
      <c r="BD1183" s="2"/>
      <c r="BE1183" s="2"/>
      <c r="BF1183" s="2"/>
      <c r="BG1183" s="2"/>
      <c r="BH1183" s="2"/>
      <c r="BI1183" s="2"/>
    </row>
    <row r="1184" spans="1:61" s="145" customFormat="1" ht="27.6" customHeight="1" x14ac:dyDescent="0.2">
      <c r="A1184" s="164">
        <v>1168</v>
      </c>
      <c r="B1184" s="139" t="s">
        <v>624</v>
      </c>
      <c r="C1184" s="9" t="s">
        <v>642</v>
      </c>
      <c r="D1184" s="71">
        <v>20120000</v>
      </c>
      <c r="E1184" s="146"/>
      <c r="F1184" s="146"/>
      <c r="G1184" s="146"/>
      <c r="H1184" s="54">
        <v>7.25</v>
      </c>
      <c r="I1184" s="146"/>
      <c r="J1184" s="146"/>
      <c r="K1184" s="146"/>
      <c r="L1184" s="146"/>
      <c r="M1184" s="141">
        <v>0</v>
      </c>
      <c r="N1184" s="141">
        <f t="shared" si="374"/>
        <v>20120000</v>
      </c>
      <c r="O1184" s="141"/>
      <c r="P1184" s="141"/>
      <c r="Q1184" s="141"/>
      <c r="R1184" s="141"/>
      <c r="S1184" s="141">
        <f t="shared" si="372"/>
        <v>20120000</v>
      </c>
      <c r="T1184" s="141">
        <v>0</v>
      </c>
      <c r="U1184" s="141">
        <v>0</v>
      </c>
      <c r="V1184" s="141"/>
      <c r="W1184" s="141"/>
      <c r="X1184" s="141"/>
      <c r="Y1184" s="141"/>
      <c r="Z1184" s="141">
        <v>0</v>
      </c>
      <c r="AA1184" s="34">
        <f>AB1184/365*77</f>
        <v>307725.75342465751</v>
      </c>
      <c r="AB1184" s="8">
        <f t="shared" si="379"/>
        <v>1458700</v>
      </c>
      <c r="AC1184" s="4">
        <f t="shared" si="370"/>
        <v>1458700</v>
      </c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  <c r="AZ1184" s="2"/>
      <c r="BA1184" s="2"/>
      <c r="BB1184" s="2"/>
      <c r="BC1184" s="2"/>
      <c r="BD1184" s="2"/>
      <c r="BE1184" s="2"/>
      <c r="BF1184" s="2"/>
      <c r="BG1184" s="2"/>
      <c r="BH1184" s="2"/>
      <c r="BI1184" s="2"/>
    </row>
    <row r="1185" spans="1:61" s="145" customFormat="1" ht="27.6" customHeight="1" x14ac:dyDescent="0.2">
      <c r="A1185" s="164">
        <v>1169</v>
      </c>
      <c r="B1185" s="139" t="s">
        <v>742</v>
      </c>
      <c r="C1185" s="9" t="s">
        <v>642</v>
      </c>
      <c r="D1185" s="71">
        <v>64521000</v>
      </c>
      <c r="E1185" s="146"/>
      <c r="F1185" s="146"/>
      <c r="G1185" s="146"/>
      <c r="H1185" s="54">
        <v>7.5</v>
      </c>
      <c r="I1185" s="146"/>
      <c r="J1185" s="146"/>
      <c r="K1185" s="146"/>
      <c r="L1185" s="146"/>
      <c r="M1185" s="141">
        <v>0</v>
      </c>
      <c r="N1185" s="141">
        <f t="shared" si="374"/>
        <v>64521000</v>
      </c>
      <c r="O1185" s="141"/>
      <c r="P1185" s="141"/>
      <c r="Q1185" s="141"/>
      <c r="R1185" s="141"/>
      <c r="S1185" s="141">
        <f t="shared" si="372"/>
        <v>64521000</v>
      </c>
      <c r="T1185" s="141">
        <v>0</v>
      </c>
      <c r="U1185" s="141">
        <v>0</v>
      </c>
      <c r="V1185" s="141"/>
      <c r="W1185" s="141"/>
      <c r="X1185" s="141"/>
      <c r="Y1185" s="141"/>
      <c r="Z1185" s="141">
        <v>0</v>
      </c>
      <c r="AA1185" s="34">
        <v>556825</v>
      </c>
      <c r="AB1185" s="8">
        <f>N1185*7.5/100</f>
        <v>4839075</v>
      </c>
      <c r="AC1185" s="4">
        <f t="shared" si="370"/>
        <v>4839075</v>
      </c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</row>
    <row r="1186" spans="1:61" s="145" customFormat="1" ht="27.6" customHeight="1" x14ac:dyDescent="0.2">
      <c r="A1186" s="164">
        <v>1170</v>
      </c>
      <c r="B1186" s="139" t="s">
        <v>743</v>
      </c>
      <c r="C1186" s="9" t="s">
        <v>642</v>
      </c>
      <c r="D1186" s="71">
        <v>111846000</v>
      </c>
      <c r="E1186" s="146"/>
      <c r="F1186" s="146"/>
      <c r="G1186" s="146"/>
      <c r="H1186" s="54">
        <v>7.5</v>
      </c>
      <c r="I1186" s="146"/>
      <c r="J1186" s="146"/>
      <c r="K1186" s="146"/>
      <c r="L1186" s="146"/>
      <c r="M1186" s="141">
        <v>0</v>
      </c>
      <c r="N1186" s="141">
        <f t="shared" si="374"/>
        <v>111846000</v>
      </c>
      <c r="O1186" s="141"/>
      <c r="P1186" s="141"/>
      <c r="Q1186" s="141"/>
      <c r="R1186" s="141"/>
      <c r="S1186" s="141">
        <f t="shared" si="372"/>
        <v>111846000</v>
      </c>
      <c r="T1186" s="141">
        <v>0</v>
      </c>
      <c r="U1186" s="141">
        <v>0</v>
      </c>
      <c r="V1186" s="141"/>
      <c r="W1186" s="141"/>
      <c r="X1186" s="141"/>
      <c r="Y1186" s="141"/>
      <c r="Z1186" s="141">
        <v>0</v>
      </c>
      <c r="AA1186" s="34">
        <v>919282</v>
      </c>
      <c r="AB1186" s="8">
        <f>N1186*7.5/100</f>
        <v>8388450</v>
      </c>
      <c r="AC1186" s="4">
        <f t="shared" si="370"/>
        <v>8388450</v>
      </c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"/>
      <c r="BE1186" s="2"/>
      <c r="BF1186" s="2"/>
      <c r="BG1186" s="2"/>
      <c r="BH1186" s="2"/>
      <c r="BI1186" s="2"/>
    </row>
    <row r="1187" spans="1:61" s="145" customFormat="1" ht="27.6" customHeight="1" x14ac:dyDescent="0.2">
      <c r="A1187" s="164">
        <v>1171</v>
      </c>
      <c r="B1187" s="139" t="s">
        <v>743</v>
      </c>
      <c r="C1187" s="9" t="s">
        <v>642</v>
      </c>
      <c r="D1187" s="71">
        <v>620462000</v>
      </c>
      <c r="E1187" s="146"/>
      <c r="F1187" s="146"/>
      <c r="G1187" s="146"/>
      <c r="H1187" s="54">
        <v>7.5</v>
      </c>
      <c r="I1187" s="146"/>
      <c r="J1187" s="146"/>
      <c r="K1187" s="146"/>
      <c r="L1187" s="146"/>
      <c r="M1187" s="141">
        <v>0</v>
      </c>
      <c r="N1187" s="141">
        <f t="shared" si="374"/>
        <v>620462000</v>
      </c>
      <c r="O1187" s="141"/>
      <c r="P1187" s="141"/>
      <c r="Q1187" s="141"/>
      <c r="R1187" s="141"/>
      <c r="S1187" s="141">
        <f t="shared" si="372"/>
        <v>620462000</v>
      </c>
      <c r="T1187" s="141">
        <v>0</v>
      </c>
      <c r="U1187" s="141">
        <v>0</v>
      </c>
      <c r="V1187" s="141"/>
      <c r="W1187" s="141"/>
      <c r="X1187" s="141"/>
      <c r="Y1187" s="141"/>
      <c r="Z1187" s="141">
        <v>0</v>
      </c>
      <c r="AA1187" s="34">
        <v>5099688</v>
      </c>
      <c r="AB1187" s="8">
        <f t="shared" ref="AB1187:AB1213" si="381">N1187*7.5/100</f>
        <v>46534650</v>
      </c>
      <c r="AC1187" s="4">
        <f t="shared" si="370"/>
        <v>46534650</v>
      </c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  <c r="AV1187" s="2"/>
      <c r="AW1187" s="2"/>
      <c r="AX1187" s="2"/>
      <c r="AY1187" s="2"/>
      <c r="AZ1187" s="2"/>
      <c r="BA1187" s="2"/>
      <c r="BB1187" s="2"/>
      <c r="BC1187" s="2"/>
      <c r="BD1187" s="2"/>
      <c r="BE1187" s="2"/>
      <c r="BF1187" s="2"/>
      <c r="BG1187" s="2"/>
      <c r="BH1187" s="2"/>
      <c r="BI1187" s="2"/>
    </row>
    <row r="1188" spans="1:61" s="145" customFormat="1" ht="27.6" customHeight="1" x14ac:dyDescent="0.2">
      <c r="A1188" s="164">
        <v>1172</v>
      </c>
      <c r="B1188" s="139" t="s">
        <v>743</v>
      </c>
      <c r="C1188" s="9" t="s">
        <v>642</v>
      </c>
      <c r="D1188" s="71">
        <v>82836000</v>
      </c>
      <c r="E1188" s="146"/>
      <c r="F1188" s="146"/>
      <c r="G1188" s="146"/>
      <c r="H1188" s="54">
        <v>7.5</v>
      </c>
      <c r="I1188" s="146"/>
      <c r="J1188" s="146"/>
      <c r="K1188" s="146"/>
      <c r="L1188" s="146"/>
      <c r="M1188" s="141">
        <v>0</v>
      </c>
      <c r="N1188" s="141">
        <f t="shared" si="374"/>
        <v>82836000</v>
      </c>
      <c r="O1188" s="141"/>
      <c r="P1188" s="141"/>
      <c r="Q1188" s="141"/>
      <c r="R1188" s="141"/>
      <c r="S1188" s="141">
        <f t="shared" si="372"/>
        <v>82836000</v>
      </c>
      <c r="T1188" s="141">
        <v>0</v>
      </c>
      <c r="U1188" s="141">
        <v>0</v>
      </c>
      <c r="V1188" s="141"/>
      <c r="W1188" s="141"/>
      <c r="X1188" s="141"/>
      <c r="Y1188" s="141"/>
      <c r="Z1188" s="141">
        <v>0</v>
      </c>
      <c r="AA1188" s="34">
        <v>680844</v>
      </c>
      <c r="AB1188" s="8">
        <f t="shared" si="381"/>
        <v>6212700</v>
      </c>
      <c r="AC1188" s="4">
        <f t="shared" si="370"/>
        <v>6212700</v>
      </c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  <c r="AT1188" s="2"/>
      <c r="AU1188" s="2"/>
      <c r="AV1188" s="2"/>
      <c r="AW1188" s="2"/>
      <c r="AX1188" s="2"/>
      <c r="AY1188" s="2"/>
      <c r="AZ1188" s="2"/>
      <c r="BA1188" s="2"/>
      <c r="BB1188" s="2"/>
      <c r="BC1188" s="2"/>
      <c r="BD1188" s="2"/>
      <c r="BE1188" s="2"/>
      <c r="BF1188" s="2"/>
      <c r="BG1188" s="2"/>
      <c r="BH1188" s="2"/>
      <c r="BI1188" s="2"/>
    </row>
    <row r="1189" spans="1:61" s="145" customFormat="1" ht="27.6" customHeight="1" x14ac:dyDescent="0.2">
      <c r="A1189" s="164">
        <v>1173</v>
      </c>
      <c r="B1189" s="139" t="s">
        <v>743</v>
      </c>
      <c r="C1189" s="9" t="s">
        <v>642</v>
      </c>
      <c r="D1189" s="71">
        <v>120349000</v>
      </c>
      <c r="E1189" s="146"/>
      <c r="F1189" s="146"/>
      <c r="G1189" s="146"/>
      <c r="H1189" s="54">
        <v>7.5</v>
      </c>
      <c r="I1189" s="146"/>
      <c r="J1189" s="146"/>
      <c r="K1189" s="146"/>
      <c r="L1189" s="146"/>
      <c r="M1189" s="141">
        <v>0</v>
      </c>
      <c r="N1189" s="141">
        <f t="shared" si="374"/>
        <v>120349000</v>
      </c>
      <c r="O1189" s="141"/>
      <c r="P1189" s="141"/>
      <c r="Q1189" s="141"/>
      <c r="R1189" s="141"/>
      <c r="S1189" s="141">
        <f t="shared" si="372"/>
        <v>120349000</v>
      </c>
      <c r="T1189" s="141">
        <v>0</v>
      </c>
      <c r="U1189" s="141">
        <v>0</v>
      </c>
      <c r="V1189" s="141"/>
      <c r="W1189" s="141"/>
      <c r="X1189" s="141"/>
      <c r="Y1189" s="141"/>
      <c r="Z1189" s="141">
        <v>0</v>
      </c>
      <c r="AA1189" s="34">
        <f>(N1189*7.5%)/365*40</f>
        <v>989169.8630136986</v>
      </c>
      <c r="AB1189" s="8">
        <f t="shared" si="381"/>
        <v>9026175</v>
      </c>
      <c r="AC1189" s="4">
        <f t="shared" si="370"/>
        <v>9026175</v>
      </c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  <c r="AV1189" s="2"/>
      <c r="AW1189" s="2"/>
      <c r="AX1189" s="2"/>
      <c r="AY1189" s="2"/>
      <c r="AZ1189" s="2"/>
      <c r="BA1189" s="2"/>
      <c r="BB1189" s="2"/>
      <c r="BC1189" s="2"/>
      <c r="BD1189" s="2"/>
      <c r="BE1189" s="2"/>
      <c r="BF1189" s="2"/>
      <c r="BG1189" s="2"/>
      <c r="BH1189" s="2"/>
      <c r="BI1189" s="2"/>
    </row>
    <row r="1190" spans="1:61" s="145" customFormat="1" ht="27.6" customHeight="1" x14ac:dyDescent="0.2">
      <c r="A1190" s="164">
        <v>1174</v>
      </c>
      <c r="B1190" s="139" t="s">
        <v>684</v>
      </c>
      <c r="C1190" s="9" t="s">
        <v>642</v>
      </c>
      <c r="D1190" s="71">
        <v>1133699000</v>
      </c>
      <c r="E1190" s="146"/>
      <c r="F1190" s="146"/>
      <c r="G1190" s="146"/>
      <c r="H1190" s="54">
        <v>7.5</v>
      </c>
      <c r="I1190" s="146"/>
      <c r="J1190" s="146"/>
      <c r="K1190" s="146"/>
      <c r="L1190" s="146"/>
      <c r="M1190" s="141">
        <v>0</v>
      </c>
      <c r="N1190" s="141">
        <f t="shared" si="374"/>
        <v>1133699000</v>
      </c>
      <c r="O1190" s="141"/>
      <c r="P1190" s="141"/>
      <c r="Q1190" s="141"/>
      <c r="R1190" s="141"/>
      <c r="S1190" s="141">
        <f t="shared" si="372"/>
        <v>1133699000</v>
      </c>
      <c r="T1190" s="141">
        <v>0</v>
      </c>
      <c r="U1190" s="141">
        <v>0</v>
      </c>
      <c r="V1190" s="141"/>
      <c r="W1190" s="141"/>
      <c r="X1190" s="141"/>
      <c r="Y1190" s="141"/>
      <c r="Z1190" s="141">
        <v>0</v>
      </c>
      <c r="AA1190" s="34">
        <f>(N1190*7.5%)/365*34</f>
        <v>7920362.8767123288</v>
      </c>
      <c r="AB1190" s="8">
        <f t="shared" si="381"/>
        <v>85027425</v>
      </c>
      <c r="AC1190" s="4">
        <f t="shared" si="370"/>
        <v>85027425</v>
      </c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U1190" s="2"/>
      <c r="AV1190" s="2"/>
      <c r="AW1190" s="2"/>
      <c r="AX1190" s="2"/>
      <c r="AY1190" s="2"/>
      <c r="AZ1190" s="2"/>
      <c r="BA1190" s="2"/>
      <c r="BB1190" s="2"/>
      <c r="BC1190" s="2"/>
      <c r="BD1190" s="2"/>
      <c r="BE1190" s="2"/>
      <c r="BF1190" s="2"/>
      <c r="BG1190" s="2"/>
      <c r="BH1190" s="2"/>
      <c r="BI1190" s="2"/>
    </row>
    <row r="1191" spans="1:61" s="145" customFormat="1" ht="27.6" customHeight="1" x14ac:dyDescent="0.2">
      <c r="A1191" s="164">
        <v>1175</v>
      </c>
      <c r="B1191" s="139" t="s">
        <v>684</v>
      </c>
      <c r="C1191" s="9" t="s">
        <v>642</v>
      </c>
      <c r="D1191" s="71">
        <v>99399000</v>
      </c>
      <c r="E1191" s="146"/>
      <c r="F1191" s="146"/>
      <c r="G1191" s="146"/>
      <c r="H1191" s="54">
        <v>7.5</v>
      </c>
      <c r="I1191" s="146"/>
      <c r="J1191" s="146"/>
      <c r="K1191" s="146"/>
      <c r="L1191" s="146"/>
      <c r="M1191" s="141">
        <v>0</v>
      </c>
      <c r="N1191" s="141">
        <f t="shared" si="374"/>
        <v>99399000</v>
      </c>
      <c r="O1191" s="141"/>
      <c r="P1191" s="141"/>
      <c r="Q1191" s="141"/>
      <c r="R1191" s="141"/>
      <c r="S1191" s="141">
        <f t="shared" si="372"/>
        <v>99399000</v>
      </c>
      <c r="T1191" s="141">
        <v>0</v>
      </c>
      <c r="U1191" s="141">
        <v>0</v>
      </c>
      <c r="V1191" s="141"/>
      <c r="W1191" s="141"/>
      <c r="X1191" s="141"/>
      <c r="Y1191" s="141"/>
      <c r="Z1191" s="141">
        <v>0</v>
      </c>
      <c r="AA1191" s="34">
        <f t="shared" ref="AA1191:AA1193" si="382">(N1191*7.5%)/365*34</f>
        <v>694431.36986301374</v>
      </c>
      <c r="AB1191" s="8">
        <f t="shared" si="381"/>
        <v>7454925</v>
      </c>
      <c r="AC1191" s="4">
        <f t="shared" si="370"/>
        <v>7454925</v>
      </c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/>
      <c r="BE1191" s="2"/>
      <c r="BF1191" s="2"/>
      <c r="BG1191" s="2"/>
      <c r="BH1191" s="2"/>
      <c r="BI1191" s="2"/>
    </row>
    <row r="1192" spans="1:61" s="145" customFormat="1" ht="27.6" customHeight="1" x14ac:dyDescent="0.2">
      <c r="A1192" s="164">
        <v>1176</v>
      </c>
      <c r="B1192" s="139" t="s">
        <v>684</v>
      </c>
      <c r="C1192" s="9" t="s">
        <v>642</v>
      </c>
      <c r="D1192" s="71">
        <v>40316000</v>
      </c>
      <c r="E1192" s="146"/>
      <c r="F1192" s="146"/>
      <c r="G1192" s="146"/>
      <c r="H1192" s="54">
        <v>7.5</v>
      </c>
      <c r="I1192" s="146"/>
      <c r="J1192" s="146"/>
      <c r="K1192" s="146"/>
      <c r="L1192" s="146"/>
      <c r="M1192" s="141">
        <v>0</v>
      </c>
      <c r="N1192" s="141">
        <f t="shared" si="374"/>
        <v>40316000</v>
      </c>
      <c r="O1192" s="141"/>
      <c r="P1192" s="141"/>
      <c r="Q1192" s="141"/>
      <c r="R1192" s="141"/>
      <c r="S1192" s="141">
        <f t="shared" si="372"/>
        <v>40316000</v>
      </c>
      <c r="T1192" s="141">
        <v>0</v>
      </c>
      <c r="U1192" s="141">
        <v>0</v>
      </c>
      <c r="V1192" s="141"/>
      <c r="W1192" s="141"/>
      <c r="X1192" s="141"/>
      <c r="Y1192" s="141"/>
      <c r="Z1192" s="141">
        <v>0</v>
      </c>
      <c r="AA1192" s="34">
        <f t="shared" si="382"/>
        <v>281659.72602739726</v>
      </c>
      <c r="AB1192" s="8">
        <f t="shared" si="381"/>
        <v>3023700</v>
      </c>
      <c r="AC1192" s="4">
        <f t="shared" si="370"/>
        <v>3023700</v>
      </c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U1192" s="2"/>
      <c r="AV1192" s="2"/>
      <c r="AW1192" s="2"/>
      <c r="AX1192" s="2"/>
      <c r="AY1192" s="2"/>
      <c r="AZ1192" s="2"/>
      <c r="BA1192" s="2"/>
      <c r="BB1192" s="2"/>
      <c r="BC1192" s="2"/>
      <c r="BD1192" s="2"/>
      <c r="BE1192" s="2"/>
      <c r="BF1192" s="2"/>
      <c r="BG1192" s="2"/>
      <c r="BH1192" s="2"/>
      <c r="BI1192" s="2"/>
    </row>
    <row r="1193" spans="1:61" s="145" customFormat="1" ht="27.6" customHeight="1" x14ac:dyDescent="0.2">
      <c r="A1193" s="164">
        <v>1177</v>
      </c>
      <c r="B1193" s="139" t="s">
        <v>684</v>
      </c>
      <c r="C1193" s="9" t="s">
        <v>642</v>
      </c>
      <c r="D1193" s="71">
        <v>246931000</v>
      </c>
      <c r="E1193" s="146"/>
      <c r="F1193" s="146"/>
      <c r="G1193" s="146"/>
      <c r="H1193" s="54">
        <v>7.5</v>
      </c>
      <c r="I1193" s="146"/>
      <c r="J1193" s="146"/>
      <c r="K1193" s="146"/>
      <c r="L1193" s="146"/>
      <c r="M1193" s="141">
        <v>0</v>
      </c>
      <c r="N1193" s="141">
        <f t="shared" si="374"/>
        <v>246931000</v>
      </c>
      <c r="O1193" s="141"/>
      <c r="P1193" s="141"/>
      <c r="Q1193" s="141"/>
      <c r="R1193" s="141"/>
      <c r="S1193" s="141">
        <f t="shared" si="372"/>
        <v>246931000</v>
      </c>
      <c r="T1193" s="141">
        <v>0</v>
      </c>
      <c r="U1193" s="141">
        <v>0</v>
      </c>
      <c r="V1193" s="141"/>
      <c r="W1193" s="141"/>
      <c r="X1193" s="141"/>
      <c r="Y1193" s="141"/>
      <c r="Z1193" s="141">
        <v>0</v>
      </c>
      <c r="AA1193" s="34">
        <f t="shared" si="382"/>
        <v>1725134.3835616438</v>
      </c>
      <c r="AB1193" s="8">
        <f t="shared" si="381"/>
        <v>18519825</v>
      </c>
      <c r="AC1193" s="4">
        <f t="shared" si="370"/>
        <v>18519825</v>
      </c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  <c r="AT1193" s="2"/>
      <c r="AU1193" s="2"/>
      <c r="AV1193" s="2"/>
      <c r="AW1193" s="2"/>
      <c r="AX1193" s="2"/>
      <c r="AY1193" s="2"/>
      <c r="AZ1193" s="2"/>
      <c r="BA1193" s="2"/>
      <c r="BB1193" s="2"/>
      <c r="BC1193" s="2"/>
      <c r="BD1193" s="2"/>
      <c r="BE1193" s="2"/>
      <c r="BF1193" s="2"/>
      <c r="BG1193" s="2"/>
      <c r="BH1193" s="2"/>
      <c r="BI1193" s="2"/>
    </row>
    <row r="1194" spans="1:61" s="145" customFormat="1" ht="27.6" customHeight="1" x14ac:dyDescent="0.2">
      <c r="A1194" s="164">
        <v>1178</v>
      </c>
      <c r="B1194" s="139" t="s">
        <v>752</v>
      </c>
      <c r="C1194" s="9" t="s">
        <v>642</v>
      </c>
      <c r="D1194" s="71">
        <v>149340000</v>
      </c>
      <c r="E1194" s="146"/>
      <c r="F1194" s="146"/>
      <c r="G1194" s="146"/>
      <c r="H1194" s="54">
        <v>7.5</v>
      </c>
      <c r="I1194" s="146"/>
      <c r="J1194" s="146"/>
      <c r="K1194" s="146"/>
      <c r="L1194" s="146"/>
      <c r="M1194" s="141">
        <v>0</v>
      </c>
      <c r="N1194" s="141">
        <f t="shared" si="374"/>
        <v>149340000</v>
      </c>
      <c r="O1194" s="141"/>
      <c r="P1194" s="141"/>
      <c r="Q1194" s="141"/>
      <c r="R1194" s="141"/>
      <c r="S1194" s="141">
        <f t="shared" si="372"/>
        <v>149340000</v>
      </c>
      <c r="T1194" s="141">
        <v>0</v>
      </c>
      <c r="U1194" s="141">
        <v>0</v>
      </c>
      <c r="V1194" s="141"/>
      <c r="W1194" s="141"/>
      <c r="X1194" s="141"/>
      <c r="Y1194" s="141"/>
      <c r="Z1194" s="141">
        <v>0</v>
      </c>
      <c r="AA1194" s="34">
        <f>(N1194*7.5%)/365*19</f>
        <v>583039.72602739721</v>
      </c>
      <c r="AB1194" s="8">
        <f t="shared" si="381"/>
        <v>11200500</v>
      </c>
      <c r="AC1194" s="4">
        <f t="shared" si="370"/>
        <v>11200500</v>
      </c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/>
      <c r="AU1194" s="2"/>
      <c r="AV1194" s="2"/>
      <c r="AW1194" s="2"/>
      <c r="AX1194" s="2"/>
      <c r="AY1194" s="2"/>
      <c r="AZ1194" s="2"/>
      <c r="BA1194" s="2"/>
      <c r="BB1194" s="2"/>
      <c r="BC1194" s="2"/>
      <c r="BD1194" s="2"/>
      <c r="BE1194" s="2"/>
      <c r="BF1194" s="2"/>
      <c r="BG1194" s="2"/>
      <c r="BH1194" s="2"/>
      <c r="BI1194" s="2"/>
    </row>
    <row r="1195" spans="1:61" s="145" customFormat="1" ht="27.6" customHeight="1" x14ac:dyDescent="0.2">
      <c r="A1195" s="164">
        <v>1179</v>
      </c>
      <c r="B1195" s="139" t="s">
        <v>752</v>
      </c>
      <c r="C1195" s="9" t="s">
        <v>642</v>
      </c>
      <c r="D1195" s="71">
        <v>120606000</v>
      </c>
      <c r="E1195" s="146"/>
      <c r="F1195" s="146"/>
      <c r="G1195" s="146"/>
      <c r="H1195" s="54">
        <v>7.5</v>
      </c>
      <c r="I1195" s="146"/>
      <c r="J1195" s="146"/>
      <c r="K1195" s="146"/>
      <c r="L1195" s="146"/>
      <c r="M1195" s="141">
        <v>0</v>
      </c>
      <c r="N1195" s="141">
        <f t="shared" si="374"/>
        <v>120606000</v>
      </c>
      <c r="O1195" s="141"/>
      <c r="P1195" s="141"/>
      <c r="Q1195" s="141"/>
      <c r="R1195" s="141"/>
      <c r="S1195" s="141">
        <f t="shared" si="372"/>
        <v>120606000</v>
      </c>
      <c r="T1195" s="141">
        <v>0</v>
      </c>
      <c r="U1195" s="141">
        <v>0</v>
      </c>
      <c r="V1195" s="141"/>
      <c r="W1195" s="141"/>
      <c r="X1195" s="141"/>
      <c r="Y1195" s="141"/>
      <c r="Z1195" s="141">
        <v>0</v>
      </c>
      <c r="AA1195" s="34">
        <f t="shared" ref="AA1195:AA1197" si="383">(N1195*7.5%)/365*19</f>
        <v>470859.0410958904</v>
      </c>
      <c r="AB1195" s="8">
        <f t="shared" si="381"/>
        <v>9045450</v>
      </c>
      <c r="AC1195" s="4">
        <f t="shared" si="370"/>
        <v>9045450</v>
      </c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U1195" s="2"/>
      <c r="AV1195" s="2"/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</row>
    <row r="1196" spans="1:61" s="145" customFormat="1" ht="27.6" customHeight="1" x14ac:dyDescent="0.2">
      <c r="A1196" s="164">
        <v>1180</v>
      </c>
      <c r="B1196" s="139" t="s">
        <v>752</v>
      </c>
      <c r="C1196" s="9" t="s">
        <v>642</v>
      </c>
      <c r="D1196" s="71">
        <v>31273000</v>
      </c>
      <c r="E1196" s="146"/>
      <c r="F1196" s="146"/>
      <c r="G1196" s="146"/>
      <c r="H1196" s="54">
        <v>7.5</v>
      </c>
      <c r="I1196" s="146"/>
      <c r="J1196" s="146"/>
      <c r="K1196" s="146"/>
      <c r="L1196" s="146"/>
      <c r="M1196" s="141">
        <v>0</v>
      </c>
      <c r="N1196" s="141">
        <f t="shared" si="374"/>
        <v>31273000</v>
      </c>
      <c r="O1196" s="141"/>
      <c r="P1196" s="141"/>
      <c r="Q1196" s="141"/>
      <c r="R1196" s="141"/>
      <c r="S1196" s="141">
        <f t="shared" si="372"/>
        <v>31273000</v>
      </c>
      <c r="T1196" s="141">
        <v>0</v>
      </c>
      <c r="U1196" s="141">
        <v>0</v>
      </c>
      <c r="V1196" s="141"/>
      <c r="W1196" s="141"/>
      <c r="X1196" s="141"/>
      <c r="Y1196" s="141"/>
      <c r="Z1196" s="141">
        <v>0</v>
      </c>
      <c r="AA1196" s="34">
        <f t="shared" si="383"/>
        <v>122093.21917808219</v>
      </c>
      <c r="AB1196" s="8">
        <f t="shared" si="381"/>
        <v>2345475</v>
      </c>
      <c r="AC1196" s="4">
        <f t="shared" si="370"/>
        <v>2345475</v>
      </c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U1196" s="2"/>
      <c r="AV1196" s="2"/>
      <c r="AW1196" s="2"/>
      <c r="AX1196" s="2"/>
      <c r="AY1196" s="2"/>
      <c r="AZ1196" s="2"/>
      <c r="BA1196" s="2"/>
      <c r="BB1196" s="2"/>
      <c r="BC1196" s="2"/>
      <c r="BD1196" s="2"/>
      <c r="BE1196" s="2"/>
      <c r="BF1196" s="2"/>
      <c r="BG1196" s="2"/>
      <c r="BH1196" s="2"/>
      <c r="BI1196" s="2"/>
    </row>
    <row r="1197" spans="1:61" s="145" customFormat="1" ht="27.6" customHeight="1" x14ac:dyDescent="0.2">
      <c r="A1197" s="164">
        <v>1181</v>
      </c>
      <c r="B1197" s="139" t="s">
        <v>752</v>
      </c>
      <c r="C1197" s="9" t="s">
        <v>642</v>
      </c>
      <c r="D1197" s="71">
        <v>90328000</v>
      </c>
      <c r="E1197" s="146"/>
      <c r="F1197" s="146"/>
      <c r="G1197" s="146"/>
      <c r="H1197" s="54">
        <v>7.5</v>
      </c>
      <c r="I1197" s="146"/>
      <c r="J1197" s="146"/>
      <c r="K1197" s="146"/>
      <c r="L1197" s="146"/>
      <c r="M1197" s="141">
        <v>0</v>
      </c>
      <c r="N1197" s="141">
        <f t="shared" si="374"/>
        <v>90328000</v>
      </c>
      <c r="O1197" s="141"/>
      <c r="P1197" s="141"/>
      <c r="Q1197" s="141"/>
      <c r="R1197" s="141"/>
      <c r="S1197" s="141">
        <f t="shared" si="372"/>
        <v>90328000</v>
      </c>
      <c r="T1197" s="141">
        <v>0</v>
      </c>
      <c r="U1197" s="141">
        <v>0</v>
      </c>
      <c r="V1197" s="141"/>
      <c r="W1197" s="141"/>
      <c r="X1197" s="141"/>
      <c r="Y1197" s="141"/>
      <c r="Z1197" s="141">
        <v>0</v>
      </c>
      <c r="AA1197" s="34">
        <f t="shared" si="383"/>
        <v>352650.41095890407</v>
      </c>
      <c r="AB1197" s="8">
        <f t="shared" si="381"/>
        <v>6774600</v>
      </c>
      <c r="AC1197" s="4">
        <f t="shared" si="370"/>
        <v>6774600</v>
      </c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  <c r="AT1197" s="2"/>
      <c r="AU1197" s="2"/>
      <c r="AV1197" s="2"/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</row>
    <row r="1198" spans="1:61" s="145" customFormat="1" ht="27.6" customHeight="1" x14ac:dyDescent="0.2">
      <c r="A1198" s="164">
        <v>1182</v>
      </c>
      <c r="B1198" s="139" t="s">
        <v>754</v>
      </c>
      <c r="C1198" s="9" t="s">
        <v>642</v>
      </c>
      <c r="D1198" s="71">
        <v>132809000</v>
      </c>
      <c r="E1198" s="146"/>
      <c r="F1198" s="146"/>
      <c r="G1198" s="146"/>
      <c r="H1198" s="54">
        <v>7.5</v>
      </c>
      <c r="I1198" s="146"/>
      <c r="J1198" s="146"/>
      <c r="K1198" s="146"/>
      <c r="L1198" s="146"/>
      <c r="M1198" s="141">
        <v>0</v>
      </c>
      <c r="N1198" s="141">
        <f t="shared" si="374"/>
        <v>132809000</v>
      </c>
      <c r="O1198" s="141"/>
      <c r="P1198" s="141"/>
      <c r="Q1198" s="141"/>
      <c r="R1198" s="141"/>
      <c r="S1198" s="141">
        <f t="shared" si="372"/>
        <v>132809000</v>
      </c>
      <c r="T1198" s="141">
        <v>0</v>
      </c>
      <c r="U1198" s="141">
        <v>0</v>
      </c>
      <c r="V1198" s="141"/>
      <c r="W1198" s="141"/>
      <c r="X1198" s="141"/>
      <c r="Y1198" s="141"/>
      <c r="Z1198" s="141">
        <v>0</v>
      </c>
      <c r="AA1198" s="34">
        <f>(N1198*7.5%)/365*6</f>
        <v>163737.12328767125</v>
      </c>
      <c r="AB1198" s="8">
        <f t="shared" si="381"/>
        <v>9960675</v>
      </c>
      <c r="AC1198" s="4">
        <f t="shared" si="370"/>
        <v>9960675</v>
      </c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  <c r="AT1198" s="2"/>
      <c r="AU1198" s="2"/>
      <c r="AV1198" s="2"/>
      <c r="AW1198" s="2"/>
      <c r="AX1198" s="2"/>
      <c r="AY1198" s="2"/>
      <c r="AZ1198" s="2"/>
      <c r="BA1198" s="2"/>
      <c r="BB1198" s="2"/>
      <c r="BC1198" s="2"/>
      <c r="BD1198" s="2"/>
      <c r="BE1198" s="2"/>
      <c r="BF1198" s="2"/>
      <c r="BG1198" s="2"/>
      <c r="BH1198" s="2"/>
      <c r="BI1198" s="2"/>
    </row>
    <row r="1199" spans="1:61" s="145" customFormat="1" ht="27.6" customHeight="1" x14ac:dyDescent="0.2">
      <c r="A1199" s="164">
        <v>1183</v>
      </c>
      <c r="B1199" s="139" t="s">
        <v>754</v>
      </c>
      <c r="C1199" s="9" t="s">
        <v>642</v>
      </c>
      <c r="D1199" s="71">
        <v>27845000</v>
      </c>
      <c r="E1199" s="146"/>
      <c r="F1199" s="146"/>
      <c r="G1199" s="146"/>
      <c r="H1199" s="54">
        <v>7.5</v>
      </c>
      <c r="I1199" s="146"/>
      <c r="J1199" s="146"/>
      <c r="K1199" s="146"/>
      <c r="L1199" s="146"/>
      <c r="M1199" s="141">
        <v>0</v>
      </c>
      <c r="N1199" s="141">
        <f t="shared" si="374"/>
        <v>27845000</v>
      </c>
      <c r="O1199" s="141"/>
      <c r="P1199" s="141"/>
      <c r="Q1199" s="141"/>
      <c r="R1199" s="141"/>
      <c r="S1199" s="141">
        <f t="shared" si="372"/>
        <v>27845000</v>
      </c>
      <c r="T1199" s="141">
        <v>0</v>
      </c>
      <c r="U1199" s="141">
        <v>0</v>
      </c>
      <c r="V1199" s="141"/>
      <c r="W1199" s="141"/>
      <c r="X1199" s="141"/>
      <c r="Y1199" s="141"/>
      <c r="Z1199" s="141">
        <v>0</v>
      </c>
      <c r="AA1199" s="34">
        <f t="shared" ref="AA1199:AA1202" si="384">(N1199*7.5%)/365*6</f>
        <v>34329.452054794521</v>
      </c>
      <c r="AB1199" s="8">
        <f t="shared" si="381"/>
        <v>2088375</v>
      </c>
      <c r="AC1199" s="4">
        <f t="shared" si="370"/>
        <v>2088375</v>
      </c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U1199" s="2"/>
      <c r="AV1199" s="2"/>
      <c r="AW1199" s="2"/>
      <c r="AX1199" s="2"/>
      <c r="AY1199" s="2"/>
      <c r="AZ1199" s="2"/>
      <c r="BA1199" s="2"/>
      <c r="BB1199" s="2"/>
      <c r="BC1199" s="2"/>
      <c r="BD1199" s="2"/>
      <c r="BE1199" s="2"/>
      <c r="BF1199" s="2"/>
      <c r="BG1199" s="2"/>
      <c r="BH1199" s="2"/>
      <c r="BI1199" s="2"/>
    </row>
    <row r="1200" spans="1:61" s="145" customFormat="1" ht="27.6" customHeight="1" x14ac:dyDescent="0.2">
      <c r="A1200" s="164">
        <v>1184</v>
      </c>
      <c r="B1200" s="139" t="s">
        <v>754</v>
      </c>
      <c r="C1200" s="9" t="s">
        <v>642</v>
      </c>
      <c r="D1200" s="71">
        <v>129173000</v>
      </c>
      <c r="E1200" s="146"/>
      <c r="F1200" s="146"/>
      <c r="G1200" s="146"/>
      <c r="H1200" s="54">
        <v>7.5</v>
      </c>
      <c r="I1200" s="146"/>
      <c r="J1200" s="146"/>
      <c r="K1200" s="146"/>
      <c r="L1200" s="146"/>
      <c r="M1200" s="141">
        <v>0</v>
      </c>
      <c r="N1200" s="141">
        <f t="shared" si="374"/>
        <v>129173000</v>
      </c>
      <c r="O1200" s="141"/>
      <c r="P1200" s="141"/>
      <c r="Q1200" s="141"/>
      <c r="R1200" s="141"/>
      <c r="S1200" s="141">
        <f t="shared" si="372"/>
        <v>129173000</v>
      </c>
      <c r="T1200" s="141">
        <v>0</v>
      </c>
      <c r="U1200" s="141">
        <v>0</v>
      </c>
      <c r="V1200" s="141"/>
      <c r="W1200" s="141"/>
      <c r="X1200" s="141"/>
      <c r="Y1200" s="141"/>
      <c r="Z1200" s="141">
        <v>0</v>
      </c>
      <c r="AA1200" s="34">
        <f t="shared" si="384"/>
        <v>159254.38356164383</v>
      </c>
      <c r="AB1200" s="8">
        <f t="shared" si="381"/>
        <v>9687975</v>
      </c>
      <c r="AC1200" s="4">
        <f t="shared" si="370"/>
        <v>9687975</v>
      </c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U1200" s="2"/>
      <c r="AV1200" s="2"/>
      <c r="AW1200" s="2"/>
      <c r="AX1200" s="2"/>
      <c r="AY1200" s="2"/>
      <c r="AZ1200" s="2"/>
      <c r="BA1200" s="2"/>
      <c r="BB1200" s="2"/>
      <c r="BC1200" s="2"/>
      <c r="BD1200" s="2"/>
      <c r="BE1200" s="2"/>
      <c r="BF1200" s="2"/>
      <c r="BG1200" s="2"/>
      <c r="BH1200" s="2"/>
      <c r="BI1200" s="2"/>
    </row>
    <row r="1201" spans="1:61" s="145" customFormat="1" ht="27.6" customHeight="1" x14ac:dyDescent="0.2">
      <c r="A1201" s="164">
        <v>1185</v>
      </c>
      <c r="B1201" s="139" t="s">
        <v>754</v>
      </c>
      <c r="C1201" s="9" t="s">
        <v>642</v>
      </c>
      <c r="D1201" s="71">
        <v>91592000</v>
      </c>
      <c r="E1201" s="146"/>
      <c r="F1201" s="146"/>
      <c r="G1201" s="146"/>
      <c r="H1201" s="54">
        <v>7.5</v>
      </c>
      <c r="I1201" s="146"/>
      <c r="J1201" s="146"/>
      <c r="K1201" s="146"/>
      <c r="L1201" s="146"/>
      <c r="M1201" s="141">
        <v>0</v>
      </c>
      <c r="N1201" s="141">
        <f t="shared" si="374"/>
        <v>91592000</v>
      </c>
      <c r="O1201" s="141"/>
      <c r="P1201" s="141"/>
      <c r="Q1201" s="141"/>
      <c r="R1201" s="141"/>
      <c r="S1201" s="141">
        <f t="shared" si="372"/>
        <v>91592000</v>
      </c>
      <c r="T1201" s="141">
        <v>0</v>
      </c>
      <c r="U1201" s="141">
        <v>0</v>
      </c>
      <c r="V1201" s="141"/>
      <c r="W1201" s="141"/>
      <c r="X1201" s="141"/>
      <c r="Y1201" s="141"/>
      <c r="Z1201" s="141">
        <v>0</v>
      </c>
      <c r="AA1201" s="34">
        <f t="shared" si="384"/>
        <v>112921.64383561644</v>
      </c>
      <c r="AB1201" s="8">
        <f t="shared" si="381"/>
        <v>6869400</v>
      </c>
      <c r="AC1201" s="4">
        <f t="shared" si="370"/>
        <v>6869400</v>
      </c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U1201" s="2"/>
      <c r="AV1201" s="2"/>
      <c r="AW1201" s="2"/>
      <c r="AX1201" s="2"/>
      <c r="AY1201" s="2"/>
      <c r="AZ1201" s="2"/>
      <c r="BA1201" s="2"/>
      <c r="BB1201" s="2"/>
      <c r="BC1201" s="2"/>
      <c r="BD1201" s="2"/>
      <c r="BE1201" s="2"/>
      <c r="BF1201" s="2"/>
      <c r="BG1201" s="2"/>
      <c r="BH1201" s="2"/>
      <c r="BI1201" s="2"/>
    </row>
    <row r="1202" spans="1:61" s="145" customFormat="1" ht="27.6" customHeight="1" x14ac:dyDescent="0.2">
      <c r="A1202" s="164">
        <v>1186</v>
      </c>
      <c r="B1202" s="139" t="s">
        <v>754</v>
      </c>
      <c r="C1202" s="9" t="s">
        <v>642</v>
      </c>
      <c r="D1202" s="71">
        <v>8416000</v>
      </c>
      <c r="E1202" s="146"/>
      <c r="F1202" s="146"/>
      <c r="G1202" s="146"/>
      <c r="H1202" s="54">
        <v>7.5</v>
      </c>
      <c r="I1202" s="146"/>
      <c r="J1202" s="146"/>
      <c r="K1202" s="146"/>
      <c r="L1202" s="146"/>
      <c r="M1202" s="141">
        <v>0</v>
      </c>
      <c r="N1202" s="141">
        <f t="shared" si="374"/>
        <v>8416000</v>
      </c>
      <c r="O1202" s="141"/>
      <c r="P1202" s="141"/>
      <c r="Q1202" s="141"/>
      <c r="R1202" s="141"/>
      <c r="S1202" s="141">
        <f t="shared" si="372"/>
        <v>8416000</v>
      </c>
      <c r="T1202" s="141">
        <v>0</v>
      </c>
      <c r="U1202" s="141">
        <v>0</v>
      </c>
      <c r="V1202" s="141"/>
      <c r="W1202" s="141"/>
      <c r="X1202" s="141"/>
      <c r="Y1202" s="141"/>
      <c r="Z1202" s="141">
        <v>0</v>
      </c>
      <c r="AA1202" s="34">
        <f t="shared" si="384"/>
        <v>10375.890410958904</v>
      </c>
      <c r="AB1202" s="8">
        <f t="shared" si="381"/>
        <v>631200</v>
      </c>
      <c r="AC1202" s="4">
        <f t="shared" si="370"/>
        <v>631200</v>
      </c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  <c r="AT1202" s="2"/>
      <c r="AU1202" s="2"/>
      <c r="AV1202" s="2"/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</row>
    <row r="1203" spans="1:61" s="145" customFormat="1" ht="27.6" customHeight="1" x14ac:dyDescent="0.2">
      <c r="A1203" s="164">
        <v>1187</v>
      </c>
      <c r="B1203" s="139" t="s">
        <v>755</v>
      </c>
      <c r="C1203" s="9" t="s">
        <v>642</v>
      </c>
      <c r="D1203" s="71">
        <v>11507000</v>
      </c>
      <c r="E1203" s="146"/>
      <c r="F1203" s="146"/>
      <c r="G1203" s="146"/>
      <c r="H1203" s="54">
        <v>7.5</v>
      </c>
      <c r="I1203" s="146"/>
      <c r="J1203" s="146"/>
      <c r="K1203" s="146"/>
      <c r="L1203" s="146"/>
      <c r="M1203" s="141">
        <v>0</v>
      </c>
      <c r="N1203" s="141">
        <f t="shared" si="374"/>
        <v>11507000</v>
      </c>
      <c r="O1203" s="141"/>
      <c r="P1203" s="141"/>
      <c r="Q1203" s="141"/>
      <c r="R1203" s="141"/>
      <c r="S1203" s="141">
        <f t="shared" si="372"/>
        <v>11507000</v>
      </c>
      <c r="T1203" s="141">
        <v>0</v>
      </c>
      <c r="U1203" s="141">
        <v>0</v>
      </c>
      <c r="V1203" s="141"/>
      <c r="W1203" s="141"/>
      <c r="X1203" s="141"/>
      <c r="Y1203" s="141"/>
      <c r="Z1203" s="141">
        <v>0</v>
      </c>
      <c r="AA1203" s="34">
        <f>(N1203*7.5%)/365*5</f>
        <v>11822.260273972603</v>
      </c>
      <c r="AB1203" s="8">
        <f t="shared" si="381"/>
        <v>863025</v>
      </c>
      <c r="AC1203" s="4">
        <f t="shared" si="370"/>
        <v>863025</v>
      </c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U1203" s="2"/>
      <c r="AV1203" s="2"/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</row>
    <row r="1204" spans="1:61" s="145" customFormat="1" ht="27.6" customHeight="1" x14ac:dyDescent="0.2">
      <c r="A1204" s="164">
        <v>1188</v>
      </c>
      <c r="B1204" s="139" t="s">
        <v>755</v>
      </c>
      <c r="C1204" s="9" t="s">
        <v>642</v>
      </c>
      <c r="D1204" s="71">
        <v>17610000</v>
      </c>
      <c r="E1204" s="146"/>
      <c r="F1204" s="146"/>
      <c r="G1204" s="146"/>
      <c r="H1204" s="54">
        <v>7.5</v>
      </c>
      <c r="I1204" s="146"/>
      <c r="J1204" s="146"/>
      <c r="K1204" s="146"/>
      <c r="L1204" s="146"/>
      <c r="M1204" s="141">
        <v>0</v>
      </c>
      <c r="N1204" s="141">
        <f t="shared" si="374"/>
        <v>17610000</v>
      </c>
      <c r="O1204" s="141"/>
      <c r="P1204" s="141"/>
      <c r="Q1204" s="141"/>
      <c r="R1204" s="141"/>
      <c r="S1204" s="141">
        <f t="shared" si="372"/>
        <v>17610000</v>
      </c>
      <c r="T1204" s="141">
        <v>0</v>
      </c>
      <c r="U1204" s="141">
        <v>0</v>
      </c>
      <c r="V1204" s="141"/>
      <c r="W1204" s="141"/>
      <c r="X1204" s="141"/>
      <c r="Y1204" s="141"/>
      <c r="Z1204" s="141">
        <v>0</v>
      </c>
      <c r="AA1204" s="34">
        <f t="shared" ref="AA1204:AA1209" si="385">(N1204*7.5%)/365*5</f>
        <v>18092.465753424658</v>
      </c>
      <c r="AB1204" s="8">
        <f t="shared" si="381"/>
        <v>1320750</v>
      </c>
      <c r="AC1204" s="4">
        <f t="shared" si="370"/>
        <v>1320750</v>
      </c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</row>
    <row r="1205" spans="1:61" s="145" customFormat="1" ht="27.6" customHeight="1" x14ac:dyDescent="0.2">
      <c r="A1205" s="164">
        <v>1189</v>
      </c>
      <c r="B1205" s="139" t="s">
        <v>755</v>
      </c>
      <c r="C1205" s="9" t="s">
        <v>642</v>
      </c>
      <c r="D1205" s="71">
        <v>45246000</v>
      </c>
      <c r="E1205" s="146"/>
      <c r="F1205" s="146"/>
      <c r="G1205" s="146"/>
      <c r="H1205" s="54">
        <v>7.5</v>
      </c>
      <c r="I1205" s="146"/>
      <c r="J1205" s="146"/>
      <c r="K1205" s="146"/>
      <c r="L1205" s="146"/>
      <c r="M1205" s="141">
        <v>0</v>
      </c>
      <c r="N1205" s="141">
        <f t="shared" si="374"/>
        <v>45246000</v>
      </c>
      <c r="O1205" s="141"/>
      <c r="P1205" s="141"/>
      <c r="Q1205" s="141"/>
      <c r="R1205" s="141"/>
      <c r="S1205" s="141">
        <f t="shared" si="372"/>
        <v>45246000</v>
      </c>
      <c r="T1205" s="141">
        <v>0</v>
      </c>
      <c r="U1205" s="141">
        <v>0</v>
      </c>
      <c r="V1205" s="141"/>
      <c r="W1205" s="141"/>
      <c r="X1205" s="141"/>
      <c r="Y1205" s="141"/>
      <c r="Z1205" s="141">
        <v>0</v>
      </c>
      <c r="AA1205" s="34">
        <f t="shared" si="385"/>
        <v>46485.616438356163</v>
      </c>
      <c r="AB1205" s="8">
        <f t="shared" si="381"/>
        <v>3393450</v>
      </c>
      <c r="AC1205" s="4">
        <f t="shared" si="370"/>
        <v>3393450</v>
      </c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  <c r="AV1205" s="2"/>
      <c r="AW1205" s="2"/>
      <c r="AX1205" s="2"/>
      <c r="AY1205" s="2"/>
      <c r="AZ1205" s="2"/>
      <c r="BA1205" s="2"/>
      <c r="BB1205" s="2"/>
      <c r="BC1205" s="2"/>
      <c r="BD1205" s="2"/>
      <c r="BE1205" s="2"/>
      <c r="BF1205" s="2"/>
      <c r="BG1205" s="2"/>
      <c r="BH1205" s="2"/>
      <c r="BI1205" s="2"/>
    </row>
    <row r="1206" spans="1:61" s="145" customFormat="1" ht="27.6" customHeight="1" x14ac:dyDescent="0.2">
      <c r="A1206" s="164">
        <v>1190</v>
      </c>
      <c r="B1206" s="139" t="s">
        <v>755</v>
      </c>
      <c r="C1206" s="9" t="s">
        <v>642</v>
      </c>
      <c r="D1206" s="71">
        <v>25430000</v>
      </c>
      <c r="E1206" s="146"/>
      <c r="F1206" s="146"/>
      <c r="G1206" s="146"/>
      <c r="H1206" s="54">
        <v>7.5</v>
      </c>
      <c r="I1206" s="146"/>
      <c r="J1206" s="146"/>
      <c r="K1206" s="146"/>
      <c r="L1206" s="146"/>
      <c r="M1206" s="141">
        <v>0</v>
      </c>
      <c r="N1206" s="141">
        <f t="shared" si="374"/>
        <v>25430000</v>
      </c>
      <c r="O1206" s="141"/>
      <c r="P1206" s="141"/>
      <c r="Q1206" s="141"/>
      <c r="R1206" s="141"/>
      <c r="S1206" s="141">
        <f t="shared" si="372"/>
        <v>25430000</v>
      </c>
      <c r="T1206" s="141">
        <v>0</v>
      </c>
      <c r="U1206" s="141">
        <v>0</v>
      </c>
      <c r="V1206" s="141"/>
      <c r="W1206" s="141"/>
      <c r="X1206" s="141"/>
      <c r="Y1206" s="141"/>
      <c r="Z1206" s="141">
        <v>0</v>
      </c>
      <c r="AA1206" s="34">
        <f t="shared" si="385"/>
        <v>26126.71232876712</v>
      </c>
      <c r="AB1206" s="8">
        <f t="shared" si="381"/>
        <v>1907250</v>
      </c>
      <c r="AC1206" s="4">
        <f t="shared" si="370"/>
        <v>1907250</v>
      </c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</row>
    <row r="1207" spans="1:61" s="145" customFormat="1" ht="27.6" customHeight="1" x14ac:dyDescent="0.2">
      <c r="A1207" s="164">
        <v>1191</v>
      </c>
      <c r="B1207" s="139" t="s">
        <v>755</v>
      </c>
      <c r="C1207" s="9" t="s">
        <v>642</v>
      </c>
      <c r="D1207" s="71">
        <v>83663000</v>
      </c>
      <c r="E1207" s="146"/>
      <c r="F1207" s="146"/>
      <c r="G1207" s="146"/>
      <c r="H1207" s="54">
        <v>7.5</v>
      </c>
      <c r="I1207" s="146"/>
      <c r="J1207" s="146"/>
      <c r="K1207" s="146"/>
      <c r="L1207" s="146"/>
      <c r="M1207" s="141">
        <v>0</v>
      </c>
      <c r="N1207" s="141">
        <f t="shared" si="374"/>
        <v>83663000</v>
      </c>
      <c r="O1207" s="141"/>
      <c r="P1207" s="141"/>
      <c r="Q1207" s="141"/>
      <c r="R1207" s="141"/>
      <c r="S1207" s="141">
        <f t="shared" si="372"/>
        <v>83663000</v>
      </c>
      <c r="T1207" s="141">
        <v>0</v>
      </c>
      <c r="U1207" s="141">
        <v>0</v>
      </c>
      <c r="V1207" s="141"/>
      <c r="W1207" s="141"/>
      <c r="X1207" s="141"/>
      <c r="Y1207" s="141"/>
      <c r="Z1207" s="141">
        <v>0</v>
      </c>
      <c r="AA1207" s="34">
        <f t="shared" si="385"/>
        <v>85955.136986301368</v>
      </c>
      <c r="AB1207" s="8">
        <f t="shared" si="381"/>
        <v>6274725</v>
      </c>
      <c r="AC1207" s="4">
        <f t="shared" si="370"/>
        <v>6274725</v>
      </c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  <c r="AT1207" s="2"/>
      <c r="AU1207" s="2"/>
      <c r="AV1207" s="2"/>
      <c r="AW1207" s="2"/>
      <c r="AX1207" s="2"/>
      <c r="AY1207" s="2"/>
      <c r="AZ1207" s="2"/>
      <c r="BA1207" s="2"/>
      <c r="BB1207" s="2"/>
      <c r="BC1207" s="2"/>
      <c r="BD1207" s="2"/>
      <c r="BE1207" s="2"/>
      <c r="BF1207" s="2"/>
      <c r="BG1207" s="2"/>
      <c r="BH1207" s="2"/>
      <c r="BI1207" s="2"/>
    </row>
    <row r="1208" spans="1:61" s="145" customFormat="1" ht="27.6" customHeight="1" x14ac:dyDescent="0.2">
      <c r="A1208" s="164">
        <v>1192</v>
      </c>
      <c r="B1208" s="139" t="s">
        <v>755</v>
      </c>
      <c r="C1208" s="9" t="s">
        <v>642</v>
      </c>
      <c r="D1208" s="71">
        <v>18944000</v>
      </c>
      <c r="E1208" s="146"/>
      <c r="F1208" s="146"/>
      <c r="G1208" s="146"/>
      <c r="H1208" s="54">
        <v>7.5</v>
      </c>
      <c r="I1208" s="146"/>
      <c r="J1208" s="146"/>
      <c r="K1208" s="146"/>
      <c r="L1208" s="146"/>
      <c r="M1208" s="141">
        <v>0</v>
      </c>
      <c r="N1208" s="141">
        <f t="shared" si="374"/>
        <v>18944000</v>
      </c>
      <c r="O1208" s="141"/>
      <c r="P1208" s="141"/>
      <c r="Q1208" s="141"/>
      <c r="R1208" s="141"/>
      <c r="S1208" s="141">
        <f t="shared" si="372"/>
        <v>18944000</v>
      </c>
      <c r="T1208" s="141">
        <v>0</v>
      </c>
      <c r="U1208" s="141">
        <v>0</v>
      </c>
      <c r="V1208" s="141"/>
      <c r="W1208" s="141"/>
      <c r="X1208" s="141"/>
      <c r="Y1208" s="141"/>
      <c r="Z1208" s="141">
        <v>0</v>
      </c>
      <c r="AA1208" s="34">
        <f t="shared" si="385"/>
        <v>19463.013698630137</v>
      </c>
      <c r="AB1208" s="8">
        <f t="shared" si="381"/>
        <v>1420800</v>
      </c>
      <c r="AC1208" s="4">
        <f t="shared" si="370"/>
        <v>1420800</v>
      </c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U1208" s="2"/>
      <c r="AV1208" s="2"/>
      <c r="AW1208" s="2"/>
      <c r="AX1208" s="2"/>
      <c r="AY1208" s="2"/>
      <c r="AZ1208" s="2"/>
      <c r="BA1208" s="2"/>
      <c r="BB1208" s="2"/>
      <c r="BC1208" s="2"/>
      <c r="BD1208" s="2"/>
      <c r="BE1208" s="2"/>
      <c r="BF1208" s="2"/>
      <c r="BG1208" s="2"/>
      <c r="BH1208" s="2"/>
      <c r="BI1208" s="2"/>
    </row>
    <row r="1209" spans="1:61" s="145" customFormat="1" ht="27.6" customHeight="1" x14ac:dyDescent="0.2">
      <c r="A1209" s="164">
        <v>1193</v>
      </c>
      <c r="B1209" s="139" t="s">
        <v>755</v>
      </c>
      <c r="C1209" s="9" t="s">
        <v>642</v>
      </c>
      <c r="D1209" s="71">
        <v>27881000</v>
      </c>
      <c r="E1209" s="146"/>
      <c r="F1209" s="146"/>
      <c r="G1209" s="146"/>
      <c r="H1209" s="54">
        <v>7.5</v>
      </c>
      <c r="I1209" s="146"/>
      <c r="J1209" s="146"/>
      <c r="K1209" s="146"/>
      <c r="L1209" s="146"/>
      <c r="M1209" s="141">
        <v>0</v>
      </c>
      <c r="N1209" s="141">
        <f t="shared" si="374"/>
        <v>27881000</v>
      </c>
      <c r="O1209" s="141"/>
      <c r="P1209" s="141"/>
      <c r="Q1209" s="141"/>
      <c r="R1209" s="141"/>
      <c r="S1209" s="141">
        <f t="shared" si="372"/>
        <v>27881000</v>
      </c>
      <c r="T1209" s="141">
        <v>0</v>
      </c>
      <c r="U1209" s="141">
        <v>0</v>
      </c>
      <c r="V1209" s="141"/>
      <c r="W1209" s="141"/>
      <c r="X1209" s="141"/>
      <c r="Y1209" s="141"/>
      <c r="Z1209" s="141">
        <v>0</v>
      </c>
      <c r="AA1209" s="34">
        <f t="shared" si="385"/>
        <v>28644.863013698632</v>
      </c>
      <c r="AB1209" s="8">
        <f t="shared" si="381"/>
        <v>2091075</v>
      </c>
      <c r="AC1209" s="4">
        <f t="shared" si="370"/>
        <v>2091075</v>
      </c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  <c r="AV1209" s="2"/>
      <c r="AW1209" s="2"/>
      <c r="AX1209" s="2"/>
      <c r="AY1209" s="2"/>
      <c r="AZ1209" s="2"/>
      <c r="BA1209" s="2"/>
      <c r="BB1209" s="2"/>
      <c r="BC1209" s="2"/>
      <c r="BD1209" s="2"/>
      <c r="BE1209" s="2"/>
      <c r="BF1209" s="2"/>
      <c r="BG1209" s="2"/>
      <c r="BH1209" s="2"/>
      <c r="BI1209" s="2"/>
    </row>
    <row r="1210" spans="1:61" s="145" customFormat="1" ht="27.6" customHeight="1" x14ac:dyDescent="0.2">
      <c r="A1210" s="164">
        <v>1194</v>
      </c>
      <c r="B1210" s="139" t="s">
        <v>756</v>
      </c>
      <c r="C1210" s="9" t="s">
        <v>642</v>
      </c>
      <c r="D1210" s="71">
        <v>98393000</v>
      </c>
      <c r="E1210" s="146"/>
      <c r="F1210" s="146"/>
      <c r="G1210" s="146"/>
      <c r="H1210" s="54">
        <v>7.5</v>
      </c>
      <c r="I1210" s="146"/>
      <c r="J1210" s="146"/>
      <c r="K1210" s="146"/>
      <c r="L1210" s="146"/>
      <c r="M1210" s="141">
        <v>0</v>
      </c>
      <c r="N1210" s="141">
        <f t="shared" si="374"/>
        <v>98393000</v>
      </c>
      <c r="O1210" s="141"/>
      <c r="P1210" s="141"/>
      <c r="Q1210" s="141"/>
      <c r="R1210" s="141"/>
      <c r="S1210" s="141">
        <f t="shared" si="372"/>
        <v>98393000</v>
      </c>
      <c r="T1210" s="141">
        <v>0</v>
      </c>
      <c r="U1210" s="141">
        <v>0</v>
      </c>
      <c r="V1210" s="141"/>
      <c r="W1210" s="141"/>
      <c r="X1210" s="141"/>
      <c r="Y1210" s="141"/>
      <c r="Z1210" s="141">
        <v>0</v>
      </c>
      <c r="AA1210" s="34">
        <f>(N1210*7.5%)/365*4</f>
        <v>80870.95890410959</v>
      </c>
      <c r="AB1210" s="8">
        <f t="shared" si="381"/>
        <v>7379475</v>
      </c>
      <c r="AC1210" s="4">
        <f t="shared" si="370"/>
        <v>7379475</v>
      </c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  <c r="AV1210" s="2"/>
      <c r="AW1210" s="2"/>
      <c r="AX1210" s="2"/>
      <c r="AY1210" s="2"/>
      <c r="AZ1210" s="2"/>
      <c r="BA1210" s="2"/>
      <c r="BB1210" s="2"/>
      <c r="BC1210" s="2"/>
      <c r="BD1210" s="2"/>
      <c r="BE1210" s="2"/>
      <c r="BF1210" s="2"/>
      <c r="BG1210" s="2"/>
      <c r="BH1210" s="2"/>
      <c r="BI1210" s="2"/>
    </row>
    <row r="1211" spans="1:61" s="145" customFormat="1" ht="27.6" customHeight="1" x14ac:dyDescent="0.2">
      <c r="A1211" s="164">
        <v>1195</v>
      </c>
      <c r="B1211" s="139" t="s">
        <v>756</v>
      </c>
      <c r="C1211" s="9" t="s">
        <v>642</v>
      </c>
      <c r="D1211" s="71">
        <v>91678000</v>
      </c>
      <c r="E1211" s="146"/>
      <c r="F1211" s="146"/>
      <c r="G1211" s="146"/>
      <c r="H1211" s="54">
        <v>7.5</v>
      </c>
      <c r="I1211" s="146"/>
      <c r="J1211" s="146"/>
      <c r="K1211" s="146"/>
      <c r="L1211" s="146"/>
      <c r="M1211" s="141">
        <v>0</v>
      </c>
      <c r="N1211" s="141">
        <f t="shared" si="374"/>
        <v>91678000</v>
      </c>
      <c r="O1211" s="141"/>
      <c r="P1211" s="141"/>
      <c r="Q1211" s="141"/>
      <c r="R1211" s="141"/>
      <c r="S1211" s="141">
        <f t="shared" si="372"/>
        <v>91678000</v>
      </c>
      <c r="T1211" s="141">
        <v>0</v>
      </c>
      <c r="U1211" s="141">
        <v>0</v>
      </c>
      <c r="V1211" s="141"/>
      <c r="W1211" s="141"/>
      <c r="X1211" s="141"/>
      <c r="Y1211" s="141"/>
      <c r="Z1211" s="141">
        <v>0</v>
      </c>
      <c r="AA1211" s="34">
        <f t="shared" ref="AA1211:AA1213" si="386">(N1211*7.5%)/365*4</f>
        <v>75351.780821917811</v>
      </c>
      <c r="AB1211" s="8">
        <f t="shared" si="381"/>
        <v>6875850</v>
      </c>
      <c r="AC1211" s="4">
        <f t="shared" si="370"/>
        <v>6875850</v>
      </c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  <c r="AV1211" s="2"/>
      <c r="AW1211" s="2"/>
      <c r="AX1211" s="2"/>
      <c r="AY1211" s="2"/>
      <c r="AZ1211" s="2"/>
      <c r="BA1211" s="2"/>
      <c r="BB1211" s="2"/>
      <c r="BC1211" s="2"/>
      <c r="BD1211" s="2"/>
      <c r="BE1211" s="2"/>
      <c r="BF1211" s="2"/>
      <c r="BG1211" s="2"/>
      <c r="BH1211" s="2"/>
      <c r="BI1211" s="2"/>
    </row>
    <row r="1212" spans="1:61" s="145" customFormat="1" ht="27.6" customHeight="1" x14ac:dyDescent="0.2">
      <c r="A1212" s="164">
        <v>1196</v>
      </c>
      <c r="B1212" s="139" t="s">
        <v>756</v>
      </c>
      <c r="C1212" s="9" t="s">
        <v>642</v>
      </c>
      <c r="D1212" s="71">
        <v>316474000</v>
      </c>
      <c r="E1212" s="146"/>
      <c r="F1212" s="146"/>
      <c r="G1212" s="146"/>
      <c r="H1212" s="54">
        <v>7.5</v>
      </c>
      <c r="I1212" s="146"/>
      <c r="J1212" s="146"/>
      <c r="K1212" s="146"/>
      <c r="L1212" s="146"/>
      <c r="M1212" s="141">
        <v>0</v>
      </c>
      <c r="N1212" s="141">
        <f t="shared" si="374"/>
        <v>316474000</v>
      </c>
      <c r="O1212" s="141"/>
      <c r="P1212" s="141"/>
      <c r="Q1212" s="141"/>
      <c r="R1212" s="141"/>
      <c r="S1212" s="141">
        <f t="shared" si="372"/>
        <v>316474000</v>
      </c>
      <c r="T1212" s="141">
        <v>0</v>
      </c>
      <c r="U1212" s="141">
        <v>0</v>
      </c>
      <c r="V1212" s="141"/>
      <c r="W1212" s="141"/>
      <c r="X1212" s="141"/>
      <c r="Y1212" s="141"/>
      <c r="Z1212" s="141">
        <v>0</v>
      </c>
      <c r="AA1212" s="34">
        <f t="shared" si="386"/>
        <v>260115.61643835617</v>
      </c>
      <c r="AB1212" s="8">
        <f t="shared" si="381"/>
        <v>23735550</v>
      </c>
      <c r="AC1212" s="4">
        <f t="shared" si="370"/>
        <v>23735550</v>
      </c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U1212" s="2"/>
      <c r="AV1212" s="2"/>
      <c r="AW1212" s="2"/>
      <c r="AX1212" s="2"/>
      <c r="AY1212" s="2"/>
      <c r="AZ1212" s="2"/>
      <c r="BA1212" s="2"/>
      <c r="BB1212" s="2"/>
      <c r="BC1212" s="2"/>
      <c r="BD1212" s="2"/>
      <c r="BE1212" s="2"/>
      <c r="BF1212" s="2"/>
      <c r="BG1212" s="2"/>
      <c r="BH1212" s="2"/>
      <c r="BI1212" s="2"/>
    </row>
    <row r="1213" spans="1:61" s="145" customFormat="1" ht="27.6" customHeight="1" x14ac:dyDescent="0.2">
      <c r="A1213" s="164">
        <v>1197</v>
      </c>
      <c r="B1213" s="139" t="s">
        <v>756</v>
      </c>
      <c r="C1213" s="9" t="s">
        <v>642</v>
      </c>
      <c r="D1213" s="71">
        <v>160333000</v>
      </c>
      <c r="E1213" s="146"/>
      <c r="F1213" s="146"/>
      <c r="G1213" s="146"/>
      <c r="H1213" s="54">
        <v>7.5</v>
      </c>
      <c r="I1213" s="146"/>
      <c r="J1213" s="146"/>
      <c r="K1213" s="146"/>
      <c r="L1213" s="146"/>
      <c r="M1213" s="141">
        <v>0</v>
      </c>
      <c r="N1213" s="141">
        <f t="shared" si="374"/>
        <v>160333000</v>
      </c>
      <c r="O1213" s="141"/>
      <c r="P1213" s="141"/>
      <c r="Q1213" s="141"/>
      <c r="R1213" s="141"/>
      <c r="S1213" s="141">
        <f t="shared" si="372"/>
        <v>160333000</v>
      </c>
      <c r="T1213" s="141">
        <v>0</v>
      </c>
      <c r="U1213" s="141">
        <v>0</v>
      </c>
      <c r="V1213" s="141"/>
      <c r="W1213" s="141"/>
      <c r="X1213" s="141"/>
      <c r="Y1213" s="141"/>
      <c r="Z1213" s="141">
        <v>0</v>
      </c>
      <c r="AA1213" s="34">
        <f t="shared" si="386"/>
        <v>131780.54794520547</v>
      </c>
      <c r="AB1213" s="8">
        <f t="shared" si="381"/>
        <v>12024975</v>
      </c>
      <c r="AC1213" s="4">
        <f t="shared" si="370"/>
        <v>12024975</v>
      </c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U1213" s="2"/>
      <c r="AV1213" s="2"/>
      <c r="AW1213" s="2"/>
      <c r="AX1213" s="2"/>
      <c r="AY1213" s="2"/>
      <c r="AZ1213" s="2"/>
      <c r="BA1213" s="2"/>
      <c r="BB1213" s="2"/>
      <c r="BC1213" s="2"/>
      <c r="BD1213" s="2"/>
      <c r="BE1213" s="2"/>
      <c r="BF1213" s="2"/>
      <c r="BG1213" s="2"/>
      <c r="BH1213" s="2"/>
      <c r="BI1213" s="2"/>
    </row>
    <row r="1214" spans="1:61" s="145" customFormat="1" ht="27.6" customHeight="1" x14ac:dyDescent="0.2">
      <c r="A1214" s="164">
        <v>1198</v>
      </c>
      <c r="B1214" s="139" t="s">
        <v>757</v>
      </c>
      <c r="C1214" s="9" t="s">
        <v>642</v>
      </c>
      <c r="D1214" s="71">
        <v>271405000</v>
      </c>
      <c r="E1214" s="146"/>
      <c r="F1214" s="146"/>
      <c r="G1214" s="146"/>
      <c r="H1214" s="54">
        <v>7.5</v>
      </c>
      <c r="I1214" s="146"/>
      <c r="J1214" s="146"/>
      <c r="K1214" s="146"/>
      <c r="L1214" s="146"/>
      <c r="M1214" s="141">
        <v>0</v>
      </c>
      <c r="N1214" s="141">
        <v>0</v>
      </c>
      <c r="O1214" s="141"/>
      <c r="P1214" s="141"/>
      <c r="Q1214" s="141"/>
      <c r="R1214" s="141"/>
      <c r="S1214" s="141">
        <f>D1214</f>
        <v>271405000</v>
      </c>
      <c r="T1214" s="141">
        <v>0</v>
      </c>
      <c r="U1214" s="141">
        <v>0</v>
      </c>
      <c r="V1214" s="141"/>
      <c r="W1214" s="141"/>
      <c r="X1214" s="141"/>
      <c r="Y1214" s="141"/>
      <c r="Z1214" s="141">
        <v>0</v>
      </c>
      <c r="AA1214" s="34">
        <v>0</v>
      </c>
      <c r="AB1214" s="8">
        <f>(S1214*7.5%)/365*272</f>
        <v>15168936.98630137</v>
      </c>
      <c r="AC1214" s="4">
        <f t="shared" si="370"/>
        <v>20355375</v>
      </c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  <c r="AV1214" s="2"/>
      <c r="AW1214" s="2"/>
      <c r="AX1214" s="2"/>
      <c r="AY1214" s="2"/>
      <c r="AZ1214" s="2"/>
      <c r="BA1214" s="2"/>
      <c r="BB1214" s="2"/>
      <c r="BC1214" s="2"/>
      <c r="BD1214" s="2"/>
      <c r="BE1214" s="2"/>
      <c r="BF1214" s="2"/>
      <c r="BG1214" s="2"/>
      <c r="BH1214" s="2"/>
      <c r="BI1214" s="2"/>
    </row>
    <row r="1215" spans="1:61" s="145" customFormat="1" ht="27.6" customHeight="1" x14ac:dyDescent="0.2">
      <c r="A1215" s="164">
        <v>1199</v>
      </c>
      <c r="B1215" s="139" t="s">
        <v>757</v>
      </c>
      <c r="C1215" s="9" t="s">
        <v>642</v>
      </c>
      <c r="D1215" s="71">
        <v>68394000</v>
      </c>
      <c r="E1215" s="146"/>
      <c r="F1215" s="146"/>
      <c r="G1215" s="146"/>
      <c r="H1215" s="54">
        <v>7.5</v>
      </c>
      <c r="I1215" s="146"/>
      <c r="J1215" s="146"/>
      <c r="K1215" s="146"/>
      <c r="L1215" s="146"/>
      <c r="M1215" s="141">
        <v>0</v>
      </c>
      <c r="N1215" s="141">
        <v>0</v>
      </c>
      <c r="O1215" s="141"/>
      <c r="P1215" s="141"/>
      <c r="Q1215" s="141"/>
      <c r="R1215" s="141"/>
      <c r="S1215" s="141">
        <f t="shared" ref="S1215:S1281" si="387">D1215</f>
        <v>68394000</v>
      </c>
      <c r="T1215" s="141">
        <v>0</v>
      </c>
      <c r="U1215" s="141">
        <v>0</v>
      </c>
      <c r="V1215" s="141"/>
      <c r="W1215" s="141"/>
      <c r="X1215" s="141"/>
      <c r="Y1215" s="141"/>
      <c r="Z1215" s="141">
        <v>0</v>
      </c>
      <c r="AA1215" s="34">
        <v>0</v>
      </c>
      <c r="AB1215" s="8">
        <f t="shared" ref="AB1215:AB1221" si="388">(S1215*7.5%)/365*272</f>
        <v>3822568.7671232875</v>
      </c>
      <c r="AC1215" s="4">
        <f t="shared" si="370"/>
        <v>5129550</v>
      </c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U1215" s="2"/>
      <c r="AV1215" s="2"/>
      <c r="AW1215" s="2"/>
      <c r="AX1215" s="2"/>
      <c r="AY1215" s="2"/>
      <c r="AZ1215" s="2"/>
      <c r="BA1215" s="2"/>
      <c r="BB1215" s="2"/>
      <c r="BC1215" s="2"/>
      <c r="BD1215" s="2"/>
      <c r="BE1215" s="2"/>
      <c r="BF1215" s="2"/>
      <c r="BG1215" s="2"/>
      <c r="BH1215" s="2"/>
      <c r="BI1215" s="2"/>
    </row>
    <row r="1216" spans="1:61" s="145" customFormat="1" ht="27.6" customHeight="1" x14ac:dyDescent="0.2">
      <c r="A1216" s="164">
        <v>1200</v>
      </c>
      <c r="B1216" s="139" t="s">
        <v>757</v>
      </c>
      <c r="C1216" s="9" t="s">
        <v>642</v>
      </c>
      <c r="D1216" s="71">
        <v>17862000</v>
      </c>
      <c r="E1216" s="146"/>
      <c r="F1216" s="146"/>
      <c r="G1216" s="146"/>
      <c r="H1216" s="54">
        <v>7.5</v>
      </c>
      <c r="I1216" s="146"/>
      <c r="J1216" s="146"/>
      <c r="K1216" s="146"/>
      <c r="L1216" s="146"/>
      <c r="M1216" s="141">
        <v>0</v>
      </c>
      <c r="N1216" s="141">
        <v>0</v>
      </c>
      <c r="O1216" s="141"/>
      <c r="P1216" s="141"/>
      <c r="Q1216" s="141"/>
      <c r="R1216" s="141"/>
      <c r="S1216" s="141">
        <f t="shared" si="387"/>
        <v>17862000</v>
      </c>
      <c r="T1216" s="141">
        <v>0</v>
      </c>
      <c r="U1216" s="141">
        <v>0</v>
      </c>
      <c r="V1216" s="141"/>
      <c r="W1216" s="141"/>
      <c r="X1216" s="141"/>
      <c r="Y1216" s="141"/>
      <c r="Z1216" s="141">
        <v>0</v>
      </c>
      <c r="AA1216" s="34">
        <v>0</v>
      </c>
      <c r="AB1216" s="8">
        <f t="shared" si="388"/>
        <v>998314.52054794529</v>
      </c>
      <c r="AC1216" s="4">
        <f t="shared" si="370"/>
        <v>1339650</v>
      </c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  <c r="AV1216" s="2"/>
      <c r="AW1216" s="2"/>
      <c r="AX1216" s="2"/>
      <c r="AY1216" s="2"/>
      <c r="AZ1216" s="2"/>
      <c r="BA1216" s="2"/>
      <c r="BB1216" s="2"/>
      <c r="BC1216" s="2"/>
      <c r="BD1216" s="2"/>
      <c r="BE1216" s="2"/>
      <c r="BF1216" s="2"/>
      <c r="BG1216" s="2"/>
      <c r="BH1216" s="2"/>
      <c r="BI1216" s="2"/>
    </row>
    <row r="1217" spans="1:61" s="145" customFormat="1" ht="27.6" customHeight="1" x14ac:dyDescent="0.2">
      <c r="A1217" s="164">
        <v>1201</v>
      </c>
      <c r="B1217" s="139" t="s">
        <v>757</v>
      </c>
      <c r="C1217" s="9" t="s">
        <v>642</v>
      </c>
      <c r="D1217" s="71">
        <v>31858000</v>
      </c>
      <c r="E1217" s="146"/>
      <c r="F1217" s="146"/>
      <c r="G1217" s="146"/>
      <c r="H1217" s="54">
        <v>7.5</v>
      </c>
      <c r="I1217" s="146"/>
      <c r="J1217" s="146"/>
      <c r="K1217" s="146"/>
      <c r="L1217" s="146"/>
      <c r="M1217" s="141">
        <v>0</v>
      </c>
      <c r="N1217" s="141">
        <v>0</v>
      </c>
      <c r="O1217" s="141"/>
      <c r="P1217" s="141"/>
      <c r="Q1217" s="141"/>
      <c r="R1217" s="141"/>
      <c r="S1217" s="141">
        <f t="shared" si="387"/>
        <v>31858000</v>
      </c>
      <c r="T1217" s="141">
        <v>0</v>
      </c>
      <c r="U1217" s="141">
        <v>0</v>
      </c>
      <c r="V1217" s="141"/>
      <c r="W1217" s="141"/>
      <c r="X1217" s="141"/>
      <c r="Y1217" s="141"/>
      <c r="Z1217" s="141">
        <v>0</v>
      </c>
      <c r="AA1217" s="34">
        <v>0</v>
      </c>
      <c r="AB1217" s="8">
        <f t="shared" si="388"/>
        <v>1780556.7123287672</v>
      </c>
      <c r="AC1217" s="4">
        <f t="shared" si="370"/>
        <v>2389350</v>
      </c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U1217" s="2"/>
      <c r="AV1217" s="2"/>
      <c r="AW1217" s="2"/>
      <c r="AX1217" s="2"/>
      <c r="AY1217" s="2"/>
      <c r="AZ1217" s="2"/>
      <c r="BA1217" s="2"/>
      <c r="BB1217" s="2"/>
      <c r="BC1217" s="2"/>
      <c r="BD1217" s="2"/>
      <c r="BE1217" s="2"/>
      <c r="BF1217" s="2"/>
      <c r="BG1217" s="2"/>
      <c r="BH1217" s="2"/>
      <c r="BI1217" s="2"/>
    </row>
    <row r="1218" spans="1:61" s="145" customFormat="1" ht="27.6" customHeight="1" x14ac:dyDescent="0.2">
      <c r="A1218" s="164">
        <v>1202</v>
      </c>
      <c r="B1218" s="139" t="s">
        <v>757</v>
      </c>
      <c r="C1218" s="9" t="s">
        <v>642</v>
      </c>
      <c r="D1218" s="71">
        <v>104159000</v>
      </c>
      <c r="E1218" s="146"/>
      <c r="F1218" s="146"/>
      <c r="G1218" s="146"/>
      <c r="H1218" s="54">
        <v>7.5</v>
      </c>
      <c r="I1218" s="146"/>
      <c r="J1218" s="146"/>
      <c r="K1218" s="146"/>
      <c r="L1218" s="146"/>
      <c r="M1218" s="141">
        <v>0</v>
      </c>
      <c r="N1218" s="141">
        <v>0</v>
      </c>
      <c r="O1218" s="141"/>
      <c r="P1218" s="141"/>
      <c r="Q1218" s="141"/>
      <c r="R1218" s="141"/>
      <c r="S1218" s="141">
        <f t="shared" si="387"/>
        <v>104159000</v>
      </c>
      <c r="T1218" s="141">
        <v>0</v>
      </c>
      <c r="U1218" s="141">
        <v>0</v>
      </c>
      <c r="V1218" s="141"/>
      <c r="W1218" s="141"/>
      <c r="X1218" s="141"/>
      <c r="Y1218" s="141"/>
      <c r="Z1218" s="141">
        <v>0</v>
      </c>
      <c r="AA1218" s="34">
        <v>0</v>
      </c>
      <c r="AB1218" s="8">
        <f t="shared" si="388"/>
        <v>5821489.3150684927</v>
      </c>
      <c r="AC1218" s="4">
        <f t="shared" si="370"/>
        <v>7811925</v>
      </c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U1218" s="2"/>
      <c r="AV1218" s="2"/>
      <c r="AW1218" s="2"/>
      <c r="AX1218" s="2"/>
      <c r="AY1218" s="2"/>
      <c r="AZ1218" s="2"/>
      <c r="BA1218" s="2"/>
      <c r="BB1218" s="2"/>
      <c r="BC1218" s="2"/>
      <c r="BD1218" s="2"/>
      <c r="BE1218" s="2"/>
      <c r="BF1218" s="2"/>
      <c r="BG1218" s="2"/>
      <c r="BH1218" s="2"/>
      <c r="BI1218" s="2"/>
    </row>
    <row r="1219" spans="1:61" s="145" customFormat="1" ht="27.6" customHeight="1" x14ac:dyDescent="0.2">
      <c r="A1219" s="164">
        <v>1203</v>
      </c>
      <c r="B1219" s="139" t="s">
        <v>757</v>
      </c>
      <c r="C1219" s="9" t="s">
        <v>642</v>
      </c>
      <c r="D1219" s="71">
        <v>41412000</v>
      </c>
      <c r="E1219" s="146"/>
      <c r="F1219" s="146"/>
      <c r="G1219" s="146"/>
      <c r="H1219" s="54">
        <v>7.5</v>
      </c>
      <c r="I1219" s="146"/>
      <c r="J1219" s="146"/>
      <c r="K1219" s="146"/>
      <c r="L1219" s="146"/>
      <c r="M1219" s="141">
        <v>0</v>
      </c>
      <c r="N1219" s="141">
        <v>0</v>
      </c>
      <c r="O1219" s="141"/>
      <c r="P1219" s="141"/>
      <c r="Q1219" s="141"/>
      <c r="R1219" s="141"/>
      <c r="S1219" s="141">
        <f t="shared" si="387"/>
        <v>41412000</v>
      </c>
      <c r="T1219" s="141">
        <v>0</v>
      </c>
      <c r="U1219" s="141">
        <v>0</v>
      </c>
      <c r="V1219" s="141"/>
      <c r="W1219" s="141"/>
      <c r="X1219" s="141"/>
      <c r="Y1219" s="141"/>
      <c r="Z1219" s="141">
        <v>0</v>
      </c>
      <c r="AA1219" s="34">
        <v>0</v>
      </c>
      <c r="AB1219" s="8">
        <f>(S1219*7.5%)/365*273</f>
        <v>2323043.0136986305</v>
      </c>
      <c r="AC1219" s="4">
        <f t="shared" si="370"/>
        <v>3105900</v>
      </c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  <c r="AV1219" s="2"/>
      <c r="AW1219" s="2"/>
      <c r="AX1219" s="2"/>
      <c r="AY1219" s="2"/>
      <c r="AZ1219" s="2"/>
      <c r="BA1219" s="2"/>
      <c r="BB1219" s="2"/>
      <c r="BC1219" s="2"/>
      <c r="BD1219" s="2"/>
      <c r="BE1219" s="2"/>
      <c r="BF1219" s="2"/>
      <c r="BG1219" s="2"/>
      <c r="BH1219" s="2"/>
      <c r="BI1219" s="2"/>
    </row>
    <row r="1220" spans="1:61" s="145" customFormat="1" ht="27.6" customHeight="1" x14ac:dyDescent="0.2">
      <c r="A1220" s="164">
        <v>1204</v>
      </c>
      <c r="B1220" s="139" t="s">
        <v>758</v>
      </c>
      <c r="C1220" s="9" t="s">
        <v>642</v>
      </c>
      <c r="D1220" s="71">
        <v>9887000</v>
      </c>
      <c r="E1220" s="146"/>
      <c r="F1220" s="146"/>
      <c r="G1220" s="146"/>
      <c r="H1220" s="54">
        <v>7.5</v>
      </c>
      <c r="I1220" s="146"/>
      <c r="J1220" s="146"/>
      <c r="K1220" s="146"/>
      <c r="L1220" s="146"/>
      <c r="M1220" s="141">
        <v>0</v>
      </c>
      <c r="N1220" s="141">
        <v>0</v>
      </c>
      <c r="O1220" s="141"/>
      <c r="P1220" s="141"/>
      <c r="Q1220" s="141"/>
      <c r="R1220" s="141"/>
      <c r="S1220" s="141">
        <f t="shared" si="387"/>
        <v>9887000</v>
      </c>
      <c r="T1220" s="141">
        <v>0</v>
      </c>
      <c r="U1220" s="141">
        <v>0</v>
      </c>
      <c r="V1220" s="141"/>
      <c r="W1220" s="141"/>
      <c r="X1220" s="141"/>
      <c r="Y1220" s="141"/>
      <c r="Z1220" s="141">
        <v>0</v>
      </c>
      <c r="AA1220" s="34">
        <v>0</v>
      </c>
      <c r="AB1220" s="8">
        <f t="shared" si="388"/>
        <v>552588.49315068498</v>
      </c>
      <c r="AC1220" s="4">
        <f t="shared" si="370"/>
        <v>741525</v>
      </c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</row>
    <row r="1221" spans="1:61" s="145" customFormat="1" ht="27.6" customHeight="1" x14ac:dyDescent="0.2">
      <c r="A1221" s="164">
        <v>1205</v>
      </c>
      <c r="B1221" s="139" t="s">
        <v>758</v>
      </c>
      <c r="C1221" s="9" t="s">
        <v>642</v>
      </c>
      <c r="D1221" s="71">
        <v>55740000</v>
      </c>
      <c r="E1221" s="146"/>
      <c r="F1221" s="146"/>
      <c r="G1221" s="146"/>
      <c r="H1221" s="54">
        <v>7.5</v>
      </c>
      <c r="I1221" s="146"/>
      <c r="J1221" s="146"/>
      <c r="K1221" s="146"/>
      <c r="L1221" s="146"/>
      <c r="M1221" s="141">
        <v>0</v>
      </c>
      <c r="N1221" s="141">
        <v>0</v>
      </c>
      <c r="O1221" s="141"/>
      <c r="P1221" s="141"/>
      <c r="Q1221" s="141"/>
      <c r="R1221" s="141"/>
      <c r="S1221" s="141">
        <f t="shared" si="387"/>
        <v>55740000</v>
      </c>
      <c r="T1221" s="141">
        <v>0</v>
      </c>
      <c r="U1221" s="141">
        <v>0</v>
      </c>
      <c r="V1221" s="141"/>
      <c r="W1221" s="141"/>
      <c r="X1221" s="141"/>
      <c r="Y1221" s="141"/>
      <c r="Z1221" s="141">
        <v>0</v>
      </c>
      <c r="AA1221" s="34">
        <v>0</v>
      </c>
      <c r="AB1221" s="8">
        <f t="shared" si="388"/>
        <v>3115331.506849315</v>
      </c>
      <c r="AC1221" s="4">
        <f t="shared" si="370"/>
        <v>4180500</v>
      </c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/>
      <c r="AW1221" s="2"/>
      <c r="AX1221" s="2"/>
      <c r="AY1221" s="2"/>
      <c r="AZ1221" s="2"/>
      <c r="BA1221" s="2"/>
      <c r="BB1221" s="2"/>
      <c r="BC1221" s="2"/>
      <c r="BD1221" s="2"/>
      <c r="BE1221" s="2"/>
      <c r="BF1221" s="2"/>
      <c r="BG1221" s="2"/>
      <c r="BH1221" s="2"/>
      <c r="BI1221" s="2"/>
    </row>
    <row r="1222" spans="1:61" s="145" customFormat="1" ht="27.6" customHeight="1" x14ac:dyDescent="0.2">
      <c r="A1222" s="164">
        <v>1206</v>
      </c>
      <c r="B1222" s="139" t="s">
        <v>759</v>
      </c>
      <c r="C1222" s="9" t="s">
        <v>642</v>
      </c>
      <c r="D1222" s="71">
        <v>17605000</v>
      </c>
      <c r="E1222" s="146"/>
      <c r="F1222" s="146"/>
      <c r="G1222" s="146"/>
      <c r="H1222" s="54">
        <v>7.5</v>
      </c>
      <c r="I1222" s="146"/>
      <c r="J1222" s="146"/>
      <c r="K1222" s="146"/>
      <c r="L1222" s="146"/>
      <c r="M1222" s="141">
        <v>0</v>
      </c>
      <c r="N1222" s="141">
        <v>0</v>
      </c>
      <c r="O1222" s="141"/>
      <c r="P1222" s="141"/>
      <c r="Q1222" s="141"/>
      <c r="R1222" s="141"/>
      <c r="S1222" s="141">
        <f t="shared" si="387"/>
        <v>17605000</v>
      </c>
      <c r="T1222" s="141">
        <v>0</v>
      </c>
      <c r="U1222" s="141">
        <v>0</v>
      </c>
      <c r="V1222" s="141"/>
      <c r="W1222" s="141"/>
      <c r="X1222" s="141"/>
      <c r="Y1222" s="141"/>
      <c r="Z1222" s="141">
        <v>0</v>
      </c>
      <c r="AA1222" s="34">
        <v>0</v>
      </c>
      <c r="AB1222" s="8">
        <f>(S1222*7.5%)/365*268</f>
        <v>969480.82191780827</v>
      </c>
      <c r="AC1222" s="4">
        <f t="shared" si="370"/>
        <v>1320375</v>
      </c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  <c r="AV1222" s="2"/>
      <c r="AW1222" s="2"/>
      <c r="AX1222" s="2"/>
      <c r="AY1222" s="2"/>
      <c r="AZ1222" s="2"/>
      <c r="BA1222" s="2"/>
      <c r="BB1222" s="2"/>
      <c r="BC1222" s="2"/>
      <c r="BD1222" s="2"/>
      <c r="BE1222" s="2"/>
      <c r="BF1222" s="2"/>
      <c r="BG1222" s="2"/>
      <c r="BH1222" s="2"/>
      <c r="BI1222" s="2"/>
    </row>
    <row r="1223" spans="1:61" s="145" customFormat="1" ht="27.6" customHeight="1" x14ac:dyDescent="0.2">
      <c r="A1223" s="164">
        <v>1207</v>
      </c>
      <c r="B1223" s="139" t="s">
        <v>760</v>
      </c>
      <c r="C1223" s="9" t="s">
        <v>642</v>
      </c>
      <c r="D1223" s="71">
        <v>79668000</v>
      </c>
      <c r="E1223" s="146"/>
      <c r="F1223" s="146"/>
      <c r="G1223" s="146"/>
      <c r="H1223" s="54">
        <v>7.5</v>
      </c>
      <c r="I1223" s="146"/>
      <c r="J1223" s="146"/>
      <c r="K1223" s="146"/>
      <c r="L1223" s="146"/>
      <c r="M1223" s="141">
        <v>0</v>
      </c>
      <c r="N1223" s="141">
        <v>0</v>
      </c>
      <c r="O1223" s="141"/>
      <c r="P1223" s="141"/>
      <c r="Q1223" s="141"/>
      <c r="R1223" s="141"/>
      <c r="S1223" s="141">
        <f t="shared" si="387"/>
        <v>79668000</v>
      </c>
      <c r="T1223" s="141">
        <v>0</v>
      </c>
      <c r="U1223" s="141">
        <v>0</v>
      </c>
      <c r="V1223" s="141"/>
      <c r="W1223" s="141"/>
      <c r="X1223" s="141"/>
      <c r="Y1223" s="141"/>
      <c r="Z1223" s="141">
        <v>0</v>
      </c>
      <c r="AA1223" s="34">
        <v>0</v>
      </c>
      <c r="AB1223" s="8">
        <f>(S1223*7.5%)/365*259</f>
        <v>4239865.4794520549</v>
      </c>
      <c r="AC1223" s="4">
        <f t="shared" si="370"/>
        <v>5975100</v>
      </c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  <c r="AV1223" s="2"/>
      <c r="AW1223" s="2"/>
      <c r="AX1223" s="2"/>
      <c r="AY1223" s="2"/>
      <c r="AZ1223" s="2"/>
      <c r="BA1223" s="2"/>
      <c r="BB1223" s="2"/>
      <c r="BC1223" s="2"/>
      <c r="BD1223" s="2"/>
      <c r="BE1223" s="2"/>
      <c r="BF1223" s="2"/>
      <c r="BG1223" s="2"/>
      <c r="BH1223" s="2"/>
      <c r="BI1223" s="2"/>
    </row>
    <row r="1224" spans="1:61" s="145" customFormat="1" ht="27.6" customHeight="1" x14ac:dyDescent="0.2">
      <c r="A1224" s="164">
        <v>1208</v>
      </c>
      <c r="B1224" s="139" t="s">
        <v>760</v>
      </c>
      <c r="C1224" s="9" t="s">
        <v>642</v>
      </c>
      <c r="D1224" s="71">
        <v>58715000</v>
      </c>
      <c r="E1224" s="146"/>
      <c r="F1224" s="146"/>
      <c r="G1224" s="146"/>
      <c r="H1224" s="54">
        <v>7.5</v>
      </c>
      <c r="I1224" s="146"/>
      <c r="J1224" s="146"/>
      <c r="K1224" s="146"/>
      <c r="L1224" s="146"/>
      <c r="M1224" s="141">
        <v>0</v>
      </c>
      <c r="N1224" s="141">
        <v>0</v>
      </c>
      <c r="O1224" s="141"/>
      <c r="P1224" s="141"/>
      <c r="Q1224" s="141"/>
      <c r="R1224" s="141"/>
      <c r="S1224" s="141">
        <f t="shared" si="387"/>
        <v>58715000</v>
      </c>
      <c r="T1224" s="141">
        <v>0</v>
      </c>
      <c r="U1224" s="141">
        <v>0</v>
      </c>
      <c r="V1224" s="141"/>
      <c r="W1224" s="141"/>
      <c r="X1224" s="141"/>
      <c r="Y1224" s="141"/>
      <c r="Z1224" s="141">
        <v>0</v>
      </c>
      <c r="AA1224" s="34">
        <v>0</v>
      </c>
      <c r="AB1224" s="8">
        <f t="shared" ref="AB1224:AB1227" si="389">(S1224*7.5%)/365*259</f>
        <v>3124764.0410958906</v>
      </c>
      <c r="AC1224" s="4">
        <f t="shared" si="370"/>
        <v>4403625</v>
      </c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  <c r="AZ1224" s="2"/>
      <c r="BA1224" s="2"/>
      <c r="BB1224" s="2"/>
      <c r="BC1224" s="2"/>
      <c r="BD1224" s="2"/>
      <c r="BE1224" s="2"/>
      <c r="BF1224" s="2"/>
      <c r="BG1224" s="2"/>
      <c r="BH1224" s="2"/>
      <c r="BI1224" s="2"/>
    </row>
    <row r="1225" spans="1:61" s="145" customFormat="1" ht="27.6" customHeight="1" x14ac:dyDescent="0.2">
      <c r="A1225" s="164">
        <v>1209</v>
      </c>
      <c r="B1225" s="139" t="s">
        <v>760</v>
      </c>
      <c r="C1225" s="9" t="s">
        <v>642</v>
      </c>
      <c r="D1225" s="71">
        <v>46063000</v>
      </c>
      <c r="E1225" s="146"/>
      <c r="F1225" s="146"/>
      <c r="G1225" s="146"/>
      <c r="H1225" s="54">
        <v>7.5</v>
      </c>
      <c r="I1225" s="146"/>
      <c r="J1225" s="146"/>
      <c r="K1225" s="146"/>
      <c r="L1225" s="146"/>
      <c r="M1225" s="141">
        <v>0</v>
      </c>
      <c r="N1225" s="141">
        <v>0</v>
      </c>
      <c r="O1225" s="141"/>
      <c r="P1225" s="141"/>
      <c r="Q1225" s="141"/>
      <c r="R1225" s="141"/>
      <c r="S1225" s="141">
        <f t="shared" si="387"/>
        <v>46063000</v>
      </c>
      <c r="T1225" s="141">
        <v>0</v>
      </c>
      <c r="U1225" s="141">
        <v>0</v>
      </c>
      <c r="V1225" s="141"/>
      <c r="W1225" s="141"/>
      <c r="X1225" s="141"/>
      <c r="Y1225" s="141"/>
      <c r="Z1225" s="141">
        <v>0</v>
      </c>
      <c r="AA1225" s="34">
        <v>0</v>
      </c>
      <c r="AB1225" s="8">
        <f t="shared" si="389"/>
        <v>2451435</v>
      </c>
      <c r="AC1225" s="4">
        <f t="shared" si="370"/>
        <v>3454725</v>
      </c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  <c r="AV1225" s="2"/>
      <c r="AW1225" s="2"/>
      <c r="AX1225" s="2"/>
      <c r="AY1225" s="2"/>
      <c r="AZ1225" s="2"/>
      <c r="BA1225" s="2"/>
      <c r="BB1225" s="2"/>
      <c r="BC1225" s="2"/>
      <c r="BD1225" s="2"/>
      <c r="BE1225" s="2"/>
      <c r="BF1225" s="2"/>
      <c r="BG1225" s="2"/>
      <c r="BH1225" s="2"/>
      <c r="BI1225" s="2"/>
    </row>
    <row r="1226" spans="1:61" s="145" customFormat="1" ht="27.6" customHeight="1" x14ac:dyDescent="0.2">
      <c r="A1226" s="164">
        <v>1210</v>
      </c>
      <c r="B1226" s="139" t="s">
        <v>760</v>
      </c>
      <c r="C1226" s="9" t="s">
        <v>642</v>
      </c>
      <c r="D1226" s="71">
        <v>87399000</v>
      </c>
      <c r="E1226" s="146"/>
      <c r="F1226" s="146"/>
      <c r="G1226" s="146"/>
      <c r="H1226" s="54">
        <v>7.5</v>
      </c>
      <c r="I1226" s="146"/>
      <c r="J1226" s="146"/>
      <c r="K1226" s="146"/>
      <c r="L1226" s="146"/>
      <c r="M1226" s="141">
        <v>0</v>
      </c>
      <c r="N1226" s="141">
        <v>0</v>
      </c>
      <c r="O1226" s="141"/>
      <c r="P1226" s="141"/>
      <c r="Q1226" s="141"/>
      <c r="R1226" s="141"/>
      <c r="S1226" s="141">
        <f t="shared" si="387"/>
        <v>87399000</v>
      </c>
      <c r="T1226" s="141">
        <v>0</v>
      </c>
      <c r="U1226" s="141">
        <v>0</v>
      </c>
      <c r="V1226" s="141"/>
      <c r="W1226" s="141"/>
      <c r="X1226" s="141"/>
      <c r="Y1226" s="141"/>
      <c r="Z1226" s="141">
        <v>0</v>
      </c>
      <c r="AA1226" s="34">
        <v>0</v>
      </c>
      <c r="AB1226" s="8">
        <f t="shared" si="389"/>
        <v>4651302.9452054799</v>
      </c>
      <c r="AC1226" s="4">
        <f t="shared" si="370"/>
        <v>6554925</v>
      </c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  <c r="AZ1226" s="2"/>
      <c r="BA1226" s="2"/>
      <c r="BB1226" s="2"/>
      <c r="BC1226" s="2"/>
      <c r="BD1226" s="2"/>
      <c r="BE1226" s="2"/>
      <c r="BF1226" s="2"/>
      <c r="BG1226" s="2"/>
      <c r="BH1226" s="2"/>
      <c r="BI1226" s="2"/>
    </row>
    <row r="1227" spans="1:61" s="145" customFormat="1" ht="27.6" customHeight="1" x14ac:dyDescent="0.2">
      <c r="A1227" s="164">
        <v>1211</v>
      </c>
      <c r="B1227" s="139" t="s">
        <v>760</v>
      </c>
      <c r="C1227" s="9" t="s">
        <v>642</v>
      </c>
      <c r="D1227" s="71">
        <v>92590000</v>
      </c>
      <c r="E1227" s="146"/>
      <c r="F1227" s="146"/>
      <c r="G1227" s="146"/>
      <c r="H1227" s="54">
        <v>7.5</v>
      </c>
      <c r="I1227" s="146"/>
      <c r="J1227" s="146"/>
      <c r="K1227" s="146"/>
      <c r="L1227" s="146"/>
      <c r="M1227" s="141">
        <v>0</v>
      </c>
      <c r="N1227" s="141">
        <v>0</v>
      </c>
      <c r="O1227" s="141"/>
      <c r="P1227" s="141"/>
      <c r="Q1227" s="141"/>
      <c r="R1227" s="141"/>
      <c r="S1227" s="141">
        <f t="shared" si="387"/>
        <v>92590000</v>
      </c>
      <c r="T1227" s="141">
        <v>0</v>
      </c>
      <c r="U1227" s="141">
        <v>0</v>
      </c>
      <c r="V1227" s="141"/>
      <c r="W1227" s="141"/>
      <c r="X1227" s="141"/>
      <c r="Y1227" s="141"/>
      <c r="Z1227" s="141">
        <v>0</v>
      </c>
      <c r="AA1227" s="34">
        <v>0</v>
      </c>
      <c r="AB1227" s="8">
        <f t="shared" si="389"/>
        <v>4927563.6986301364</v>
      </c>
      <c r="AC1227" s="4">
        <f t="shared" si="370"/>
        <v>6944250</v>
      </c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/>
      <c r="AV1227" s="2"/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/>
      <c r="BH1227" s="2"/>
      <c r="BI1227" s="2"/>
    </row>
    <row r="1228" spans="1:61" s="145" customFormat="1" ht="27.6" customHeight="1" x14ac:dyDescent="0.2">
      <c r="A1228" s="164">
        <v>1212</v>
      </c>
      <c r="B1228" s="139" t="s">
        <v>761</v>
      </c>
      <c r="C1228" s="9" t="s">
        <v>642</v>
      </c>
      <c r="D1228" s="71">
        <v>59179000</v>
      </c>
      <c r="E1228" s="146"/>
      <c r="F1228" s="146"/>
      <c r="G1228" s="146"/>
      <c r="H1228" s="54">
        <v>7.5</v>
      </c>
      <c r="I1228" s="146"/>
      <c r="J1228" s="146"/>
      <c r="K1228" s="146"/>
      <c r="L1228" s="146"/>
      <c r="M1228" s="141">
        <v>0</v>
      </c>
      <c r="N1228" s="141">
        <v>0</v>
      </c>
      <c r="O1228" s="141"/>
      <c r="P1228" s="141"/>
      <c r="Q1228" s="141"/>
      <c r="R1228" s="141"/>
      <c r="S1228" s="141">
        <f t="shared" si="387"/>
        <v>59179000</v>
      </c>
      <c r="T1228" s="141">
        <v>0</v>
      </c>
      <c r="U1228" s="141">
        <v>0</v>
      </c>
      <c r="V1228" s="141"/>
      <c r="W1228" s="141"/>
      <c r="X1228" s="141"/>
      <c r="Y1228" s="141"/>
      <c r="Z1228" s="141">
        <v>0</v>
      </c>
      <c r="AA1228" s="34">
        <v>0</v>
      </c>
      <c r="AB1228" s="8">
        <f>(S1228*7.5%)/365*254</f>
        <v>3088657.3972602743</v>
      </c>
      <c r="AC1228" s="4">
        <f t="shared" si="370"/>
        <v>4438425</v>
      </c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</row>
    <row r="1229" spans="1:61" s="145" customFormat="1" ht="27.6" customHeight="1" x14ac:dyDescent="0.2">
      <c r="A1229" s="164">
        <v>1213</v>
      </c>
      <c r="B1229" s="139" t="s">
        <v>761</v>
      </c>
      <c r="C1229" s="9" t="s">
        <v>642</v>
      </c>
      <c r="D1229" s="71">
        <v>45877000</v>
      </c>
      <c r="E1229" s="146"/>
      <c r="F1229" s="146"/>
      <c r="G1229" s="146"/>
      <c r="H1229" s="54">
        <v>7.5</v>
      </c>
      <c r="I1229" s="146"/>
      <c r="J1229" s="146"/>
      <c r="K1229" s="146"/>
      <c r="L1229" s="146"/>
      <c r="M1229" s="141">
        <v>0</v>
      </c>
      <c r="N1229" s="141">
        <v>0</v>
      </c>
      <c r="O1229" s="141"/>
      <c r="P1229" s="141"/>
      <c r="Q1229" s="141"/>
      <c r="R1229" s="141"/>
      <c r="S1229" s="141">
        <f t="shared" si="387"/>
        <v>45877000</v>
      </c>
      <c r="T1229" s="141">
        <v>0</v>
      </c>
      <c r="U1229" s="141">
        <v>0</v>
      </c>
      <c r="V1229" s="141"/>
      <c r="W1229" s="141"/>
      <c r="X1229" s="141"/>
      <c r="Y1229" s="141"/>
      <c r="Z1229" s="141">
        <v>0</v>
      </c>
      <c r="AA1229" s="34">
        <v>0</v>
      </c>
      <c r="AB1229" s="8">
        <f t="shared" ref="AB1229:AB1233" si="390">(S1229*7.5%)/365*254</f>
        <v>2394402.3287671232</v>
      </c>
      <c r="AC1229" s="4">
        <f t="shared" si="370"/>
        <v>3440775</v>
      </c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</row>
    <row r="1230" spans="1:61" s="145" customFormat="1" ht="27.6" customHeight="1" x14ac:dyDescent="0.2">
      <c r="A1230" s="164">
        <v>1214</v>
      </c>
      <c r="B1230" s="139" t="s">
        <v>761</v>
      </c>
      <c r="C1230" s="9" t="s">
        <v>642</v>
      </c>
      <c r="D1230" s="71">
        <v>34133000</v>
      </c>
      <c r="E1230" s="146"/>
      <c r="F1230" s="146"/>
      <c r="G1230" s="146"/>
      <c r="H1230" s="54">
        <v>7.5</v>
      </c>
      <c r="I1230" s="146"/>
      <c r="J1230" s="146"/>
      <c r="K1230" s="146"/>
      <c r="L1230" s="146"/>
      <c r="M1230" s="141">
        <v>0</v>
      </c>
      <c r="N1230" s="141">
        <v>0</v>
      </c>
      <c r="O1230" s="141"/>
      <c r="P1230" s="141"/>
      <c r="Q1230" s="141"/>
      <c r="R1230" s="141"/>
      <c r="S1230" s="141">
        <f t="shared" si="387"/>
        <v>34133000</v>
      </c>
      <c r="T1230" s="141">
        <v>0</v>
      </c>
      <c r="U1230" s="141">
        <v>0</v>
      </c>
      <c r="V1230" s="141"/>
      <c r="W1230" s="141"/>
      <c r="X1230" s="141"/>
      <c r="Y1230" s="141"/>
      <c r="Z1230" s="141">
        <v>0</v>
      </c>
      <c r="AA1230" s="34">
        <v>0</v>
      </c>
      <c r="AB1230" s="8">
        <f t="shared" si="390"/>
        <v>1781462.0547945206</v>
      </c>
      <c r="AC1230" s="4">
        <f t="shared" si="370"/>
        <v>2559975</v>
      </c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</row>
    <row r="1231" spans="1:61" s="145" customFormat="1" ht="27.6" customHeight="1" x14ac:dyDescent="0.2">
      <c r="A1231" s="164">
        <v>1215</v>
      </c>
      <c r="B1231" s="139" t="s">
        <v>761</v>
      </c>
      <c r="C1231" s="9" t="s">
        <v>642</v>
      </c>
      <c r="D1231" s="71">
        <v>33311000</v>
      </c>
      <c r="E1231" s="146"/>
      <c r="F1231" s="146"/>
      <c r="G1231" s="146"/>
      <c r="H1231" s="54">
        <v>7.5</v>
      </c>
      <c r="I1231" s="146"/>
      <c r="J1231" s="146"/>
      <c r="K1231" s="146"/>
      <c r="L1231" s="146"/>
      <c r="M1231" s="141">
        <v>0</v>
      </c>
      <c r="N1231" s="141">
        <v>0</v>
      </c>
      <c r="O1231" s="141"/>
      <c r="P1231" s="141"/>
      <c r="Q1231" s="141"/>
      <c r="R1231" s="141"/>
      <c r="S1231" s="141">
        <f t="shared" si="387"/>
        <v>33311000</v>
      </c>
      <c r="T1231" s="141">
        <v>0</v>
      </c>
      <c r="U1231" s="141">
        <v>0</v>
      </c>
      <c r="V1231" s="141"/>
      <c r="W1231" s="141"/>
      <c r="X1231" s="141"/>
      <c r="Y1231" s="141"/>
      <c r="Z1231" s="141">
        <v>0</v>
      </c>
      <c r="AA1231" s="34">
        <v>0</v>
      </c>
      <c r="AB1231" s="8">
        <f t="shared" si="390"/>
        <v>1738560.4109589043</v>
      </c>
      <c r="AC1231" s="4">
        <f t="shared" si="370"/>
        <v>2498325</v>
      </c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</row>
    <row r="1232" spans="1:61" s="145" customFormat="1" ht="27.6" customHeight="1" x14ac:dyDescent="0.2">
      <c r="A1232" s="164">
        <v>1216</v>
      </c>
      <c r="B1232" s="139" t="s">
        <v>761</v>
      </c>
      <c r="C1232" s="9" t="s">
        <v>642</v>
      </c>
      <c r="D1232" s="71">
        <v>13669000</v>
      </c>
      <c r="E1232" s="146"/>
      <c r="F1232" s="146"/>
      <c r="G1232" s="146"/>
      <c r="H1232" s="54">
        <v>7.5</v>
      </c>
      <c r="I1232" s="146"/>
      <c r="J1232" s="146"/>
      <c r="K1232" s="146"/>
      <c r="L1232" s="146"/>
      <c r="M1232" s="141">
        <v>0</v>
      </c>
      <c r="N1232" s="141">
        <v>0</v>
      </c>
      <c r="O1232" s="141"/>
      <c r="P1232" s="141"/>
      <c r="Q1232" s="141"/>
      <c r="R1232" s="141"/>
      <c r="S1232" s="141">
        <f t="shared" si="387"/>
        <v>13669000</v>
      </c>
      <c r="T1232" s="141">
        <v>0</v>
      </c>
      <c r="U1232" s="141">
        <v>0</v>
      </c>
      <c r="V1232" s="141"/>
      <c r="W1232" s="141"/>
      <c r="X1232" s="141"/>
      <c r="Y1232" s="141"/>
      <c r="Z1232" s="141">
        <v>0</v>
      </c>
      <c r="AA1232" s="34">
        <v>0</v>
      </c>
      <c r="AB1232" s="8">
        <f t="shared" si="390"/>
        <v>713409.45205479453</v>
      </c>
      <c r="AC1232" s="4">
        <f t="shared" si="370"/>
        <v>1025175</v>
      </c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  <c r="AV1232" s="2"/>
      <c r="AW1232" s="2"/>
      <c r="AX1232" s="2"/>
      <c r="AY1232" s="2"/>
      <c r="AZ1232" s="2"/>
      <c r="BA1232" s="2"/>
      <c r="BB1232" s="2"/>
      <c r="BC1232" s="2"/>
      <c r="BD1232" s="2"/>
      <c r="BE1232" s="2"/>
      <c r="BF1232" s="2"/>
      <c r="BG1232" s="2"/>
      <c r="BH1232" s="2"/>
      <c r="BI1232" s="2"/>
    </row>
    <row r="1233" spans="1:61" s="145" customFormat="1" ht="27.6" customHeight="1" x14ac:dyDescent="0.2">
      <c r="A1233" s="164">
        <v>1217</v>
      </c>
      <c r="B1233" s="139" t="s">
        <v>761</v>
      </c>
      <c r="C1233" s="9" t="s">
        <v>642</v>
      </c>
      <c r="D1233" s="71">
        <v>45035000</v>
      </c>
      <c r="E1233" s="146"/>
      <c r="F1233" s="146"/>
      <c r="G1233" s="146"/>
      <c r="H1233" s="54">
        <v>7.5</v>
      </c>
      <c r="I1233" s="146"/>
      <c r="J1233" s="146"/>
      <c r="K1233" s="146"/>
      <c r="L1233" s="146"/>
      <c r="M1233" s="141">
        <v>0</v>
      </c>
      <c r="N1233" s="141">
        <v>0</v>
      </c>
      <c r="O1233" s="141"/>
      <c r="P1233" s="141"/>
      <c r="Q1233" s="141"/>
      <c r="R1233" s="141"/>
      <c r="S1233" s="141">
        <f t="shared" si="387"/>
        <v>45035000</v>
      </c>
      <c r="T1233" s="141">
        <v>0</v>
      </c>
      <c r="U1233" s="141">
        <v>0</v>
      </c>
      <c r="V1233" s="141"/>
      <c r="W1233" s="141"/>
      <c r="X1233" s="141"/>
      <c r="Y1233" s="141"/>
      <c r="Z1233" s="141">
        <v>0</v>
      </c>
      <c r="AA1233" s="34">
        <v>0</v>
      </c>
      <c r="AB1233" s="8">
        <f t="shared" si="390"/>
        <v>2350456.8493150682</v>
      </c>
      <c r="AC1233" s="4">
        <f t="shared" ref="AC1233:AC1281" si="391">S1233*H1233%</f>
        <v>3377625</v>
      </c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  <c r="AV1233" s="2"/>
      <c r="AW1233" s="2"/>
      <c r="AX1233" s="2"/>
      <c r="AY1233" s="2"/>
      <c r="AZ1233" s="2"/>
      <c r="BA1233" s="2"/>
      <c r="BB1233" s="2"/>
      <c r="BC1233" s="2"/>
      <c r="BD1233" s="2"/>
      <c r="BE1233" s="2"/>
      <c r="BF1233" s="2"/>
      <c r="BG1233" s="2"/>
      <c r="BH1233" s="2"/>
      <c r="BI1233" s="2"/>
    </row>
    <row r="1234" spans="1:61" s="145" customFormat="1" ht="27.6" customHeight="1" x14ac:dyDescent="0.2">
      <c r="A1234" s="164">
        <v>1218</v>
      </c>
      <c r="B1234" s="139" t="s">
        <v>763</v>
      </c>
      <c r="C1234" s="9" t="s">
        <v>642</v>
      </c>
      <c r="D1234" s="71">
        <v>33389000</v>
      </c>
      <c r="E1234" s="146"/>
      <c r="F1234" s="146"/>
      <c r="G1234" s="146"/>
      <c r="H1234" s="54">
        <v>7.5</v>
      </c>
      <c r="I1234" s="146"/>
      <c r="J1234" s="146"/>
      <c r="K1234" s="146"/>
      <c r="L1234" s="146"/>
      <c r="M1234" s="141">
        <v>0</v>
      </c>
      <c r="N1234" s="141">
        <v>0</v>
      </c>
      <c r="O1234" s="141"/>
      <c r="P1234" s="141"/>
      <c r="Q1234" s="141"/>
      <c r="R1234" s="141"/>
      <c r="S1234" s="141">
        <f t="shared" si="387"/>
        <v>33389000</v>
      </c>
      <c r="T1234" s="141">
        <v>0</v>
      </c>
      <c r="U1234" s="141">
        <v>0</v>
      </c>
      <c r="V1234" s="141"/>
      <c r="W1234" s="141"/>
      <c r="X1234" s="141"/>
      <c r="Y1234" s="141"/>
      <c r="Z1234" s="141">
        <v>0</v>
      </c>
      <c r="AA1234" s="34">
        <v>0</v>
      </c>
      <c r="AB1234" s="8">
        <f>(S1234*7.5%)/365*223</f>
        <v>1529948.01369863</v>
      </c>
      <c r="AC1234" s="4">
        <f t="shared" si="391"/>
        <v>2504175</v>
      </c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</row>
    <row r="1235" spans="1:61" s="145" customFormat="1" ht="27.6" customHeight="1" x14ac:dyDescent="0.2">
      <c r="A1235" s="164">
        <v>1219</v>
      </c>
      <c r="B1235" s="139" t="s">
        <v>764</v>
      </c>
      <c r="C1235" s="9" t="s">
        <v>642</v>
      </c>
      <c r="D1235" s="71">
        <v>82023000</v>
      </c>
      <c r="E1235" s="146"/>
      <c r="F1235" s="146"/>
      <c r="G1235" s="146"/>
      <c r="H1235" s="54">
        <v>7.5</v>
      </c>
      <c r="I1235" s="146"/>
      <c r="J1235" s="146"/>
      <c r="K1235" s="146"/>
      <c r="L1235" s="146"/>
      <c r="M1235" s="141">
        <v>0</v>
      </c>
      <c r="N1235" s="141">
        <v>0</v>
      </c>
      <c r="O1235" s="141"/>
      <c r="P1235" s="141"/>
      <c r="Q1235" s="141"/>
      <c r="R1235" s="141"/>
      <c r="S1235" s="141">
        <f t="shared" si="387"/>
        <v>82023000</v>
      </c>
      <c r="T1235" s="141">
        <v>0</v>
      </c>
      <c r="U1235" s="141">
        <v>0</v>
      </c>
      <c r="V1235" s="141"/>
      <c r="W1235" s="141"/>
      <c r="X1235" s="141"/>
      <c r="Y1235" s="141"/>
      <c r="Z1235" s="141">
        <v>0</v>
      </c>
      <c r="AA1235" s="34">
        <v>0</v>
      </c>
      <c r="AB1235" s="8">
        <f>(S1235*7.5%)/365*218</f>
        <v>3674180.9589041094</v>
      </c>
      <c r="AC1235" s="4">
        <f t="shared" si="391"/>
        <v>6151725</v>
      </c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  <c r="AV1235" s="2"/>
      <c r="AW1235" s="2"/>
      <c r="AX1235" s="2"/>
      <c r="AY1235" s="2"/>
      <c r="AZ1235" s="2"/>
      <c r="BA1235" s="2"/>
      <c r="BB1235" s="2"/>
      <c r="BC1235" s="2"/>
      <c r="BD1235" s="2"/>
      <c r="BE1235" s="2"/>
      <c r="BF1235" s="2"/>
      <c r="BG1235" s="2"/>
      <c r="BH1235" s="2"/>
      <c r="BI1235" s="2"/>
    </row>
    <row r="1236" spans="1:61" s="145" customFormat="1" ht="27.6" customHeight="1" x14ac:dyDescent="0.2">
      <c r="A1236" s="164">
        <v>1220</v>
      </c>
      <c r="B1236" s="139" t="s">
        <v>765</v>
      </c>
      <c r="C1236" s="9" t="s">
        <v>642</v>
      </c>
      <c r="D1236" s="71">
        <v>43316000</v>
      </c>
      <c r="E1236" s="146"/>
      <c r="F1236" s="146"/>
      <c r="G1236" s="146"/>
      <c r="H1236" s="54">
        <v>7.5</v>
      </c>
      <c r="I1236" s="146"/>
      <c r="J1236" s="146"/>
      <c r="K1236" s="146"/>
      <c r="L1236" s="146"/>
      <c r="M1236" s="141">
        <v>0</v>
      </c>
      <c r="N1236" s="141">
        <v>0</v>
      </c>
      <c r="O1236" s="141"/>
      <c r="P1236" s="141"/>
      <c r="Q1236" s="141"/>
      <c r="R1236" s="141"/>
      <c r="S1236" s="141">
        <f t="shared" si="387"/>
        <v>43316000</v>
      </c>
      <c r="T1236" s="141">
        <v>0</v>
      </c>
      <c r="U1236" s="141">
        <v>0</v>
      </c>
      <c r="V1236" s="141"/>
      <c r="W1236" s="141"/>
      <c r="X1236" s="141"/>
      <c r="Y1236" s="141"/>
      <c r="Z1236" s="141">
        <v>0</v>
      </c>
      <c r="AA1236" s="34">
        <v>0</v>
      </c>
      <c r="AB1236" s="8">
        <f>(S1236*7.5%)/365*217</f>
        <v>1931418.9041095888</v>
      </c>
      <c r="AC1236" s="4">
        <f t="shared" si="391"/>
        <v>3248700</v>
      </c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U1236" s="2"/>
      <c r="AV1236" s="2"/>
      <c r="AW1236" s="2"/>
      <c r="AX1236" s="2"/>
      <c r="AY1236" s="2"/>
      <c r="AZ1236" s="2"/>
      <c r="BA1236" s="2"/>
      <c r="BB1236" s="2"/>
      <c r="BC1236" s="2"/>
      <c r="BD1236" s="2"/>
      <c r="BE1236" s="2"/>
      <c r="BF1236" s="2"/>
      <c r="BG1236" s="2"/>
      <c r="BH1236" s="2"/>
      <c r="BI1236" s="2"/>
    </row>
    <row r="1237" spans="1:61" s="145" customFormat="1" ht="27.6" customHeight="1" x14ac:dyDescent="0.2">
      <c r="A1237" s="164">
        <v>1221</v>
      </c>
      <c r="B1237" s="139" t="s">
        <v>765</v>
      </c>
      <c r="C1237" s="9" t="s">
        <v>642</v>
      </c>
      <c r="D1237" s="71">
        <v>32863000</v>
      </c>
      <c r="E1237" s="146"/>
      <c r="F1237" s="146"/>
      <c r="G1237" s="146"/>
      <c r="H1237" s="54">
        <v>7.5</v>
      </c>
      <c r="I1237" s="146"/>
      <c r="J1237" s="146"/>
      <c r="K1237" s="146"/>
      <c r="L1237" s="146"/>
      <c r="M1237" s="141">
        <v>0</v>
      </c>
      <c r="N1237" s="141">
        <v>0</v>
      </c>
      <c r="O1237" s="141"/>
      <c r="P1237" s="141"/>
      <c r="Q1237" s="141"/>
      <c r="R1237" s="141"/>
      <c r="S1237" s="141">
        <f t="shared" si="387"/>
        <v>32863000</v>
      </c>
      <c r="T1237" s="141">
        <v>0</v>
      </c>
      <c r="U1237" s="141">
        <v>0</v>
      </c>
      <c r="V1237" s="141"/>
      <c r="W1237" s="141"/>
      <c r="X1237" s="141"/>
      <c r="Y1237" s="141"/>
      <c r="Z1237" s="141">
        <v>0</v>
      </c>
      <c r="AA1237" s="34">
        <v>0</v>
      </c>
      <c r="AB1237" s="8">
        <f t="shared" ref="AB1237" si="392">(S1237*7.5%)/365*217</f>
        <v>1465329.6575342466</v>
      </c>
      <c r="AC1237" s="4">
        <f t="shared" si="391"/>
        <v>2464725</v>
      </c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  <c r="AT1237" s="2"/>
      <c r="AU1237" s="2"/>
      <c r="AV1237" s="2"/>
      <c r="AW1237" s="2"/>
      <c r="AX1237" s="2"/>
      <c r="AY1237" s="2"/>
      <c r="AZ1237" s="2"/>
      <c r="BA1237" s="2"/>
      <c r="BB1237" s="2"/>
      <c r="BC1237" s="2"/>
      <c r="BD1237" s="2"/>
      <c r="BE1237" s="2"/>
      <c r="BF1237" s="2"/>
      <c r="BG1237" s="2"/>
      <c r="BH1237" s="2"/>
      <c r="BI1237" s="2"/>
    </row>
    <row r="1238" spans="1:61" s="145" customFormat="1" ht="27.6" customHeight="1" x14ac:dyDescent="0.2">
      <c r="A1238" s="164">
        <v>1222</v>
      </c>
      <c r="B1238" s="139" t="s">
        <v>766</v>
      </c>
      <c r="C1238" s="9" t="s">
        <v>642</v>
      </c>
      <c r="D1238" s="71">
        <v>23957000</v>
      </c>
      <c r="E1238" s="146"/>
      <c r="F1238" s="146"/>
      <c r="G1238" s="146"/>
      <c r="H1238" s="54">
        <v>7.5</v>
      </c>
      <c r="I1238" s="146"/>
      <c r="J1238" s="146"/>
      <c r="K1238" s="146"/>
      <c r="L1238" s="146"/>
      <c r="M1238" s="141">
        <v>0</v>
      </c>
      <c r="N1238" s="141">
        <v>0</v>
      </c>
      <c r="O1238" s="141"/>
      <c r="P1238" s="141"/>
      <c r="Q1238" s="141"/>
      <c r="R1238" s="141"/>
      <c r="S1238" s="141">
        <f t="shared" si="387"/>
        <v>23957000</v>
      </c>
      <c r="T1238" s="141">
        <v>0</v>
      </c>
      <c r="U1238" s="141">
        <v>0</v>
      </c>
      <c r="V1238" s="141"/>
      <c r="W1238" s="141"/>
      <c r="X1238" s="141"/>
      <c r="Y1238" s="141"/>
      <c r="Z1238" s="141">
        <v>0</v>
      </c>
      <c r="AA1238" s="34">
        <v>0</v>
      </c>
      <c r="AB1238" s="8">
        <f>(S1238*7.5%)/365*216</f>
        <v>1063296.98630137</v>
      </c>
      <c r="AC1238" s="4">
        <f t="shared" si="391"/>
        <v>1796775</v>
      </c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  <c r="AT1238" s="2"/>
      <c r="AU1238" s="2"/>
      <c r="AV1238" s="2"/>
      <c r="AW1238" s="2"/>
      <c r="AX1238" s="2"/>
      <c r="AY1238" s="2"/>
      <c r="AZ1238" s="2"/>
      <c r="BA1238" s="2"/>
      <c r="BB1238" s="2"/>
      <c r="BC1238" s="2"/>
      <c r="BD1238" s="2"/>
      <c r="BE1238" s="2"/>
      <c r="BF1238" s="2"/>
      <c r="BG1238" s="2"/>
      <c r="BH1238" s="2"/>
      <c r="BI1238" s="2"/>
    </row>
    <row r="1239" spans="1:61" s="145" customFormat="1" ht="27.6" customHeight="1" x14ac:dyDescent="0.2">
      <c r="A1239" s="164">
        <v>1223</v>
      </c>
      <c r="B1239" s="139" t="s">
        <v>766</v>
      </c>
      <c r="C1239" s="9" t="s">
        <v>642</v>
      </c>
      <c r="D1239" s="71">
        <v>17290000</v>
      </c>
      <c r="E1239" s="146"/>
      <c r="F1239" s="146"/>
      <c r="G1239" s="146"/>
      <c r="H1239" s="54">
        <v>7.5</v>
      </c>
      <c r="I1239" s="146"/>
      <c r="J1239" s="146"/>
      <c r="K1239" s="146"/>
      <c r="L1239" s="146"/>
      <c r="M1239" s="141">
        <v>0</v>
      </c>
      <c r="N1239" s="141">
        <v>0</v>
      </c>
      <c r="O1239" s="141"/>
      <c r="P1239" s="141"/>
      <c r="Q1239" s="141"/>
      <c r="R1239" s="141"/>
      <c r="S1239" s="141">
        <f t="shared" si="387"/>
        <v>17290000</v>
      </c>
      <c r="T1239" s="141">
        <v>0</v>
      </c>
      <c r="U1239" s="141">
        <v>0</v>
      </c>
      <c r="V1239" s="141"/>
      <c r="W1239" s="141"/>
      <c r="X1239" s="141"/>
      <c r="Y1239" s="141"/>
      <c r="Z1239" s="141">
        <v>0</v>
      </c>
      <c r="AA1239" s="34">
        <v>0</v>
      </c>
      <c r="AB1239" s="8">
        <f t="shared" ref="AB1239:AB1240" si="393">(S1239*7.5%)/365*216</f>
        <v>767391.78082191781</v>
      </c>
      <c r="AC1239" s="4">
        <f t="shared" si="391"/>
        <v>1296750</v>
      </c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U1239" s="2"/>
      <c r="AV1239" s="2"/>
      <c r="AW1239" s="2"/>
      <c r="AX1239" s="2"/>
      <c r="AY1239" s="2"/>
      <c r="AZ1239" s="2"/>
      <c r="BA1239" s="2"/>
      <c r="BB1239" s="2"/>
      <c r="BC1239" s="2"/>
      <c r="BD1239" s="2"/>
      <c r="BE1239" s="2"/>
      <c r="BF1239" s="2"/>
      <c r="BG1239" s="2"/>
      <c r="BH1239" s="2"/>
      <c r="BI1239" s="2"/>
    </row>
    <row r="1240" spans="1:61" s="145" customFormat="1" ht="27.6" customHeight="1" x14ac:dyDescent="0.2">
      <c r="A1240" s="164">
        <v>1224</v>
      </c>
      <c r="B1240" s="139" t="s">
        <v>766</v>
      </c>
      <c r="C1240" s="9" t="s">
        <v>642</v>
      </c>
      <c r="D1240" s="71">
        <v>14078000</v>
      </c>
      <c r="E1240" s="146"/>
      <c r="F1240" s="146"/>
      <c r="G1240" s="146"/>
      <c r="H1240" s="54">
        <v>7.5</v>
      </c>
      <c r="I1240" s="146"/>
      <c r="J1240" s="146"/>
      <c r="K1240" s="146"/>
      <c r="L1240" s="146"/>
      <c r="M1240" s="141">
        <v>0</v>
      </c>
      <c r="N1240" s="141">
        <v>0</v>
      </c>
      <c r="O1240" s="141"/>
      <c r="P1240" s="141"/>
      <c r="Q1240" s="141"/>
      <c r="R1240" s="141"/>
      <c r="S1240" s="141">
        <f t="shared" si="387"/>
        <v>14078000</v>
      </c>
      <c r="T1240" s="141">
        <v>0</v>
      </c>
      <c r="U1240" s="141">
        <v>0</v>
      </c>
      <c r="V1240" s="141"/>
      <c r="W1240" s="141"/>
      <c r="X1240" s="141"/>
      <c r="Y1240" s="141"/>
      <c r="Z1240" s="141">
        <v>0</v>
      </c>
      <c r="AA1240" s="34">
        <v>0</v>
      </c>
      <c r="AB1240" s="8">
        <f t="shared" si="393"/>
        <v>624831.78082191781</v>
      </c>
      <c r="AC1240" s="4">
        <f t="shared" si="391"/>
        <v>1055850</v>
      </c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U1240" s="2"/>
      <c r="AV1240" s="2"/>
      <c r="AW1240" s="2"/>
      <c r="AX1240" s="2"/>
      <c r="AY1240" s="2"/>
      <c r="AZ1240" s="2"/>
      <c r="BA1240" s="2"/>
      <c r="BB1240" s="2"/>
      <c r="BC1240" s="2"/>
      <c r="BD1240" s="2"/>
      <c r="BE1240" s="2"/>
      <c r="BF1240" s="2"/>
      <c r="BG1240" s="2"/>
      <c r="BH1240" s="2"/>
      <c r="BI1240" s="2"/>
    </row>
    <row r="1241" spans="1:61" s="145" customFormat="1" ht="27.6" customHeight="1" x14ac:dyDescent="0.2">
      <c r="A1241" s="164">
        <v>1225</v>
      </c>
      <c r="B1241" s="139" t="s">
        <v>768</v>
      </c>
      <c r="C1241" s="9" t="s">
        <v>642</v>
      </c>
      <c r="D1241" s="71">
        <v>11692000</v>
      </c>
      <c r="E1241" s="146"/>
      <c r="F1241" s="146"/>
      <c r="G1241" s="146"/>
      <c r="H1241" s="54">
        <v>7.5</v>
      </c>
      <c r="I1241" s="146"/>
      <c r="J1241" s="146"/>
      <c r="K1241" s="146"/>
      <c r="L1241" s="146"/>
      <c r="M1241" s="141">
        <v>0</v>
      </c>
      <c r="N1241" s="141">
        <v>0</v>
      </c>
      <c r="O1241" s="141"/>
      <c r="P1241" s="141"/>
      <c r="Q1241" s="141"/>
      <c r="R1241" s="141"/>
      <c r="S1241" s="141">
        <f t="shared" si="387"/>
        <v>11692000</v>
      </c>
      <c r="T1241" s="141">
        <v>0</v>
      </c>
      <c r="U1241" s="141">
        <v>0</v>
      </c>
      <c r="V1241" s="141"/>
      <c r="W1241" s="141"/>
      <c r="X1241" s="141"/>
      <c r="Y1241" s="141"/>
      <c r="Z1241" s="141">
        <v>0</v>
      </c>
      <c r="AA1241" s="34">
        <v>0</v>
      </c>
      <c r="AB1241" s="8">
        <f>(S1241*7.5%)/365*202</f>
        <v>485298.08219178085</v>
      </c>
      <c r="AC1241" s="4">
        <f t="shared" si="391"/>
        <v>876900</v>
      </c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U1241" s="2"/>
      <c r="AV1241" s="2"/>
      <c r="AW1241" s="2"/>
      <c r="AX1241" s="2"/>
      <c r="AY1241" s="2"/>
      <c r="AZ1241" s="2"/>
      <c r="BA1241" s="2"/>
      <c r="BB1241" s="2"/>
      <c r="BC1241" s="2"/>
      <c r="BD1241" s="2"/>
      <c r="BE1241" s="2"/>
      <c r="BF1241" s="2"/>
      <c r="BG1241" s="2"/>
      <c r="BH1241" s="2"/>
      <c r="BI1241" s="2"/>
    </row>
    <row r="1242" spans="1:61" s="145" customFormat="1" ht="27.6" customHeight="1" x14ac:dyDescent="0.2">
      <c r="A1242" s="164">
        <v>1226</v>
      </c>
      <c r="B1242" s="139" t="s">
        <v>768</v>
      </c>
      <c r="C1242" s="9" t="s">
        <v>642</v>
      </c>
      <c r="D1242" s="71">
        <v>219849000</v>
      </c>
      <c r="E1242" s="146"/>
      <c r="F1242" s="146"/>
      <c r="G1242" s="146"/>
      <c r="H1242" s="54">
        <v>7.5</v>
      </c>
      <c r="I1242" s="146"/>
      <c r="J1242" s="146"/>
      <c r="K1242" s="146"/>
      <c r="L1242" s="146"/>
      <c r="M1242" s="141">
        <v>0</v>
      </c>
      <c r="N1242" s="141">
        <v>0</v>
      </c>
      <c r="O1242" s="141"/>
      <c r="P1242" s="141"/>
      <c r="Q1242" s="141"/>
      <c r="R1242" s="141"/>
      <c r="S1242" s="141">
        <f t="shared" si="387"/>
        <v>219849000</v>
      </c>
      <c r="T1242" s="141">
        <v>0</v>
      </c>
      <c r="U1242" s="141">
        <v>0</v>
      </c>
      <c r="V1242" s="141"/>
      <c r="W1242" s="141"/>
      <c r="X1242" s="141"/>
      <c r="Y1242" s="141"/>
      <c r="Z1242" s="141">
        <v>0</v>
      </c>
      <c r="AA1242" s="34">
        <v>0</v>
      </c>
      <c r="AB1242" s="8">
        <f t="shared" ref="AB1242:AB1247" si="394">(S1242*7.5%)/365*202</f>
        <v>9125239.3150684927</v>
      </c>
      <c r="AC1242" s="4">
        <f t="shared" si="391"/>
        <v>16488675</v>
      </c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  <c r="AT1242" s="2"/>
      <c r="AU1242" s="2"/>
      <c r="AV1242" s="2"/>
      <c r="AW1242" s="2"/>
      <c r="AX1242" s="2"/>
      <c r="AY1242" s="2"/>
      <c r="AZ1242" s="2"/>
      <c r="BA1242" s="2"/>
      <c r="BB1242" s="2"/>
      <c r="BC1242" s="2"/>
      <c r="BD1242" s="2"/>
      <c r="BE1242" s="2"/>
      <c r="BF1242" s="2"/>
      <c r="BG1242" s="2"/>
      <c r="BH1242" s="2"/>
      <c r="BI1242" s="2"/>
    </row>
    <row r="1243" spans="1:61" s="145" customFormat="1" ht="27.6" customHeight="1" x14ac:dyDescent="0.2">
      <c r="A1243" s="164">
        <v>1227</v>
      </c>
      <c r="B1243" s="139" t="s">
        <v>768</v>
      </c>
      <c r="C1243" s="9" t="s">
        <v>642</v>
      </c>
      <c r="D1243" s="71">
        <v>13416000</v>
      </c>
      <c r="E1243" s="146"/>
      <c r="F1243" s="146"/>
      <c r="G1243" s="146"/>
      <c r="H1243" s="54">
        <v>7.5</v>
      </c>
      <c r="I1243" s="146"/>
      <c r="J1243" s="146"/>
      <c r="K1243" s="146"/>
      <c r="L1243" s="146"/>
      <c r="M1243" s="141">
        <v>0</v>
      </c>
      <c r="N1243" s="141">
        <v>0</v>
      </c>
      <c r="O1243" s="141"/>
      <c r="P1243" s="141"/>
      <c r="Q1243" s="141"/>
      <c r="R1243" s="141"/>
      <c r="S1243" s="141">
        <f t="shared" si="387"/>
        <v>13416000</v>
      </c>
      <c r="T1243" s="141">
        <v>0</v>
      </c>
      <c r="U1243" s="141">
        <v>0</v>
      </c>
      <c r="V1243" s="141"/>
      <c r="W1243" s="141"/>
      <c r="X1243" s="141"/>
      <c r="Y1243" s="141"/>
      <c r="Z1243" s="141">
        <v>0</v>
      </c>
      <c r="AA1243" s="34">
        <v>0</v>
      </c>
      <c r="AB1243" s="8">
        <f t="shared" si="394"/>
        <v>556855.89041095891</v>
      </c>
      <c r="AC1243" s="4">
        <f t="shared" si="391"/>
        <v>1006200</v>
      </c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  <c r="AT1243" s="2"/>
      <c r="AU1243" s="2"/>
      <c r="AV1243" s="2"/>
      <c r="AW1243" s="2"/>
      <c r="AX1243" s="2"/>
      <c r="AY1243" s="2"/>
      <c r="AZ1243" s="2"/>
      <c r="BA1243" s="2"/>
      <c r="BB1243" s="2"/>
      <c r="BC1243" s="2"/>
      <c r="BD1243" s="2"/>
      <c r="BE1243" s="2"/>
      <c r="BF1243" s="2"/>
      <c r="BG1243" s="2"/>
      <c r="BH1243" s="2"/>
      <c r="BI1243" s="2"/>
    </row>
    <row r="1244" spans="1:61" s="145" customFormat="1" ht="27.6" customHeight="1" x14ac:dyDescent="0.2">
      <c r="A1244" s="164">
        <v>1228</v>
      </c>
      <c r="B1244" s="139" t="s">
        <v>768</v>
      </c>
      <c r="C1244" s="9" t="s">
        <v>642</v>
      </c>
      <c r="D1244" s="71">
        <v>82280000</v>
      </c>
      <c r="E1244" s="146"/>
      <c r="F1244" s="146"/>
      <c r="G1244" s="146"/>
      <c r="H1244" s="54">
        <v>7.5</v>
      </c>
      <c r="I1244" s="146"/>
      <c r="J1244" s="146"/>
      <c r="K1244" s="146"/>
      <c r="L1244" s="146"/>
      <c r="M1244" s="141">
        <v>0</v>
      </c>
      <c r="N1244" s="141">
        <v>0</v>
      </c>
      <c r="O1244" s="141"/>
      <c r="P1244" s="141"/>
      <c r="Q1244" s="141"/>
      <c r="R1244" s="141"/>
      <c r="S1244" s="141">
        <f t="shared" si="387"/>
        <v>82280000</v>
      </c>
      <c r="T1244" s="141">
        <v>0</v>
      </c>
      <c r="U1244" s="141">
        <v>0</v>
      </c>
      <c r="V1244" s="141"/>
      <c r="W1244" s="141"/>
      <c r="X1244" s="141"/>
      <c r="Y1244" s="141"/>
      <c r="Z1244" s="141">
        <v>0</v>
      </c>
      <c r="AA1244" s="34">
        <v>0</v>
      </c>
      <c r="AB1244" s="8">
        <f t="shared" si="394"/>
        <v>3415183.5616438352</v>
      </c>
      <c r="AC1244" s="4">
        <f t="shared" si="391"/>
        <v>6171000</v>
      </c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U1244" s="2"/>
      <c r="AV1244" s="2"/>
      <c r="AW1244" s="2"/>
      <c r="AX1244" s="2"/>
      <c r="AY1244" s="2"/>
      <c r="AZ1244" s="2"/>
      <c r="BA1244" s="2"/>
      <c r="BB1244" s="2"/>
      <c r="BC1244" s="2"/>
      <c r="BD1244" s="2"/>
      <c r="BE1244" s="2"/>
      <c r="BF1244" s="2"/>
      <c r="BG1244" s="2"/>
      <c r="BH1244" s="2"/>
      <c r="BI1244" s="2"/>
    </row>
    <row r="1245" spans="1:61" s="145" customFormat="1" ht="27.6" customHeight="1" x14ac:dyDescent="0.2">
      <c r="A1245" s="164">
        <v>1229</v>
      </c>
      <c r="B1245" s="139" t="s">
        <v>768</v>
      </c>
      <c r="C1245" s="9" t="s">
        <v>642</v>
      </c>
      <c r="D1245" s="71">
        <v>32100000</v>
      </c>
      <c r="E1245" s="146"/>
      <c r="F1245" s="146"/>
      <c r="G1245" s="146"/>
      <c r="H1245" s="54">
        <v>7.5</v>
      </c>
      <c r="I1245" s="146"/>
      <c r="J1245" s="146"/>
      <c r="K1245" s="146"/>
      <c r="L1245" s="146"/>
      <c r="M1245" s="141">
        <v>0</v>
      </c>
      <c r="N1245" s="141">
        <v>0</v>
      </c>
      <c r="O1245" s="141"/>
      <c r="P1245" s="141"/>
      <c r="Q1245" s="141"/>
      <c r="R1245" s="141"/>
      <c r="S1245" s="141">
        <f t="shared" si="387"/>
        <v>32100000</v>
      </c>
      <c r="T1245" s="141">
        <v>0</v>
      </c>
      <c r="U1245" s="141">
        <v>0</v>
      </c>
      <c r="V1245" s="141"/>
      <c r="W1245" s="141"/>
      <c r="X1245" s="141"/>
      <c r="Y1245" s="141"/>
      <c r="Z1245" s="141">
        <v>0</v>
      </c>
      <c r="AA1245" s="34">
        <v>0</v>
      </c>
      <c r="AB1245" s="8">
        <f t="shared" si="394"/>
        <v>1332369.8630136985</v>
      </c>
      <c r="AC1245" s="4">
        <f t="shared" si="391"/>
        <v>2407500</v>
      </c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U1245" s="2"/>
      <c r="AV1245" s="2"/>
      <c r="AW1245" s="2"/>
      <c r="AX1245" s="2"/>
      <c r="AY1245" s="2"/>
      <c r="AZ1245" s="2"/>
      <c r="BA1245" s="2"/>
      <c r="BB1245" s="2"/>
      <c r="BC1245" s="2"/>
      <c r="BD1245" s="2"/>
      <c r="BE1245" s="2"/>
      <c r="BF1245" s="2"/>
      <c r="BG1245" s="2"/>
      <c r="BH1245" s="2"/>
      <c r="BI1245" s="2"/>
    </row>
    <row r="1246" spans="1:61" s="145" customFormat="1" ht="27.6" customHeight="1" x14ac:dyDescent="0.2">
      <c r="A1246" s="164">
        <v>1230</v>
      </c>
      <c r="B1246" s="139" t="s">
        <v>768</v>
      </c>
      <c r="C1246" s="9" t="s">
        <v>642</v>
      </c>
      <c r="D1246" s="71">
        <v>6320000</v>
      </c>
      <c r="E1246" s="146"/>
      <c r="F1246" s="146"/>
      <c r="G1246" s="146"/>
      <c r="H1246" s="54">
        <v>7.5</v>
      </c>
      <c r="I1246" s="146"/>
      <c r="J1246" s="146"/>
      <c r="K1246" s="146"/>
      <c r="L1246" s="146"/>
      <c r="M1246" s="141">
        <v>0</v>
      </c>
      <c r="N1246" s="141">
        <v>0</v>
      </c>
      <c r="O1246" s="141"/>
      <c r="P1246" s="141"/>
      <c r="Q1246" s="141"/>
      <c r="R1246" s="141"/>
      <c r="S1246" s="141">
        <f t="shared" si="387"/>
        <v>6320000</v>
      </c>
      <c r="T1246" s="141">
        <v>0</v>
      </c>
      <c r="U1246" s="141">
        <v>0</v>
      </c>
      <c r="V1246" s="141"/>
      <c r="W1246" s="141"/>
      <c r="X1246" s="141"/>
      <c r="Y1246" s="141"/>
      <c r="Z1246" s="141">
        <v>0</v>
      </c>
      <c r="AA1246" s="34">
        <v>0</v>
      </c>
      <c r="AB1246" s="8">
        <f t="shared" si="394"/>
        <v>262323.28767123289</v>
      </c>
      <c r="AC1246" s="4">
        <f t="shared" si="391"/>
        <v>474000</v>
      </c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/>
      <c r="AU1246" s="2"/>
      <c r="AV1246" s="2"/>
      <c r="AW1246" s="2"/>
      <c r="AX1246" s="2"/>
      <c r="AY1246" s="2"/>
      <c r="AZ1246" s="2"/>
      <c r="BA1246" s="2"/>
      <c r="BB1246" s="2"/>
      <c r="BC1246" s="2"/>
      <c r="BD1246" s="2"/>
      <c r="BE1246" s="2"/>
      <c r="BF1246" s="2"/>
      <c r="BG1246" s="2"/>
      <c r="BH1246" s="2"/>
      <c r="BI1246" s="2"/>
    </row>
    <row r="1247" spans="1:61" s="145" customFormat="1" ht="27.6" customHeight="1" x14ac:dyDescent="0.2">
      <c r="A1247" s="164">
        <v>1231</v>
      </c>
      <c r="B1247" s="139" t="s">
        <v>768</v>
      </c>
      <c r="C1247" s="9" t="s">
        <v>642</v>
      </c>
      <c r="D1247" s="71">
        <v>8564000</v>
      </c>
      <c r="E1247" s="146"/>
      <c r="F1247" s="146"/>
      <c r="G1247" s="146"/>
      <c r="H1247" s="54">
        <v>7.5</v>
      </c>
      <c r="I1247" s="146"/>
      <c r="J1247" s="146"/>
      <c r="K1247" s="146"/>
      <c r="L1247" s="146"/>
      <c r="M1247" s="141">
        <v>0</v>
      </c>
      <c r="N1247" s="141">
        <v>0</v>
      </c>
      <c r="O1247" s="141"/>
      <c r="P1247" s="141"/>
      <c r="Q1247" s="141"/>
      <c r="R1247" s="141"/>
      <c r="S1247" s="141">
        <f t="shared" si="387"/>
        <v>8564000</v>
      </c>
      <c r="T1247" s="141">
        <v>0</v>
      </c>
      <c r="U1247" s="141">
        <v>0</v>
      </c>
      <c r="V1247" s="141"/>
      <c r="W1247" s="141"/>
      <c r="X1247" s="141"/>
      <c r="Y1247" s="141"/>
      <c r="Z1247" s="141">
        <v>0</v>
      </c>
      <c r="AA1247" s="34">
        <v>0</v>
      </c>
      <c r="AB1247" s="8">
        <f t="shared" si="394"/>
        <v>355464.65753424657</v>
      </c>
      <c r="AC1247" s="4">
        <f t="shared" si="391"/>
        <v>642300</v>
      </c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  <c r="AT1247" s="2"/>
      <c r="AU1247" s="2"/>
      <c r="AV1247" s="2"/>
      <c r="AW1247" s="2"/>
      <c r="AX1247" s="2"/>
      <c r="AY1247" s="2"/>
      <c r="AZ1247" s="2"/>
      <c r="BA1247" s="2"/>
      <c r="BB1247" s="2"/>
      <c r="BC1247" s="2"/>
      <c r="BD1247" s="2"/>
      <c r="BE1247" s="2"/>
      <c r="BF1247" s="2"/>
      <c r="BG1247" s="2"/>
      <c r="BH1247" s="2"/>
      <c r="BI1247" s="2"/>
    </row>
    <row r="1248" spans="1:61" s="145" customFormat="1" ht="27.6" customHeight="1" x14ac:dyDescent="0.2">
      <c r="A1248" s="164">
        <v>1232</v>
      </c>
      <c r="B1248" s="139" t="s">
        <v>769</v>
      </c>
      <c r="C1248" s="9" t="s">
        <v>642</v>
      </c>
      <c r="D1248" s="71">
        <v>52507000</v>
      </c>
      <c r="E1248" s="146"/>
      <c r="F1248" s="146"/>
      <c r="G1248" s="146"/>
      <c r="H1248" s="54">
        <v>7.5</v>
      </c>
      <c r="I1248" s="146"/>
      <c r="J1248" s="146"/>
      <c r="K1248" s="146"/>
      <c r="L1248" s="146"/>
      <c r="M1248" s="141">
        <v>0</v>
      </c>
      <c r="N1248" s="141">
        <v>0</v>
      </c>
      <c r="O1248" s="141"/>
      <c r="P1248" s="141"/>
      <c r="Q1248" s="141"/>
      <c r="R1248" s="141"/>
      <c r="S1248" s="141">
        <f t="shared" si="387"/>
        <v>52507000</v>
      </c>
      <c r="T1248" s="141">
        <v>0</v>
      </c>
      <c r="U1248" s="141">
        <v>0</v>
      </c>
      <c r="V1248" s="141"/>
      <c r="W1248" s="141"/>
      <c r="X1248" s="141"/>
      <c r="Y1248" s="141"/>
      <c r="Z1248" s="141">
        <v>0</v>
      </c>
      <c r="AA1248" s="34">
        <v>0</v>
      </c>
      <c r="AB1248" s="8">
        <f>(S1248*7.5%)/365*196</f>
        <v>2114665.4794520549</v>
      </c>
      <c r="AC1248" s="4">
        <f t="shared" si="391"/>
        <v>3938025</v>
      </c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U1248" s="2"/>
      <c r="AV1248" s="2"/>
      <c r="AW1248" s="2"/>
      <c r="AX1248" s="2"/>
      <c r="AY1248" s="2"/>
      <c r="AZ1248" s="2"/>
      <c r="BA1248" s="2"/>
      <c r="BB1248" s="2"/>
      <c r="BC1248" s="2"/>
      <c r="BD1248" s="2"/>
      <c r="BE1248" s="2"/>
      <c r="BF1248" s="2"/>
      <c r="BG1248" s="2"/>
      <c r="BH1248" s="2"/>
      <c r="BI1248" s="2"/>
    </row>
    <row r="1249" spans="1:61" s="145" customFormat="1" ht="27.6" customHeight="1" x14ac:dyDescent="0.2">
      <c r="A1249" s="164">
        <v>1233</v>
      </c>
      <c r="B1249" s="139" t="s">
        <v>769</v>
      </c>
      <c r="C1249" s="9" t="s">
        <v>642</v>
      </c>
      <c r="D1249" s="71">
        <v>31634000</v>
      </c>
      <c r="E1249" s="146"/>
      <c r="F1249" s="146"/>
      <c r="G1249" s="146"/>
      <c r="H1249" s="54">
        <v>7.5</v>
      </c>
      <c r="I1249" s="146"/>
      <c r="J1249" s="146"/>
      <c r="K1249" s="146"/>
      <c r="L1249" s="146"/>
      <c r="M1249" s="141">
        <v>0</v>
      </c>
      <c r="N1249" s="141">
        <v>0</v>
      </c>
      <c r="O1249" s="141"/>
      <c r="P1249" s="141"/>
      <c r="Q1249" s="141"/>
      <c r="R1249" s="141"/>
      <c r="S1249" s="141">
        <f t="shared" si="387"/>
        <v>31634000</v>
      </c>
      <c r="T1249" s="141">
        <v>0</v>
      </c>
      <c r="U1249" s="141">
        <v>0</v>
      </c>
      <c r="V1249" s="141"/>
      <c r="W1249" s="141"/>
      <c r="X1249" s="141"/>
      <c r="Y1249" s="141"/>
      <c r="Z1249" s="141">
        <v>0</v>
      </c>
      <c r="AA1249" s="34">
        <v>0</v>
      </c>
      <c r="AB1249" s="8">
        <f t="shared" ref="AB1249:AB1250" si="395">(S1249*7.5%)/365*196</f>
        <v>1274026.8493150685</v>
      </c>
      <c r="AC1249" s="4">
        <f t="shared" si="391"/>
        <v>2372550</v>
      </c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U1249" s="2"/>
      <c r="AV1249" s="2"/>
      <c r="AW1249" s="2"/>
      <c r="AX1249" s="2"/>
      <c r="AY1249" s="2"/>
      <c r="AZ1249" s="2"/>
      <c r="BA1249" s="2"/>
      <c r="BB1249" s="2"/>
      <c r="BC1249" s="2"/>
      <c r="BD1249" s="2"/>
      <c r="BE1249" s="2"/>
      <c r="BF1249" s="2"/>
      <c r="BG1249" s="2"/>
      <c r="BH1249" s="2"/>
      <c r="BI1249" s="2"/>
    </row>
    <row r="1250" spans="1:61" s="145" customFormat="1" ht="27.6" customHeight="1" x14ac:dyDescent="0.2">
      <c r="A1250" s="164">
        <v>1234</v>
      </c>
      <c r="B1250" s="139" t="s">
        <v>769</v>
      </c>
      <c r="C1250" s="9" t="s">
        <v>642</v>
      </c>
      <c r="D1250" s="71">
        <v>16957000</v>
      </c>
      <c r="E1250" s="146"/>
      <c r="F1250" s="146"/>
      <c r="G1250" s="146"/>
      <c r="H1250" s="54">
        <v>7.5</v>
      </c>
      <c r="I1250" s="146"/>
      <c r="J1250" s="146"/>
      <c r="K1250" s="146"/>
      <c r="L1250" s="146"/>
      <c r="M1250" s="141">
        <v>0</v>
      </c>
      <c r="N1250" s="141">
        <v>0</v>
      </c>
      <c r="O1250" s="141"/>
      <c r="P1250" s="141"/>
      <c r="Q1250" s="141"/>
      <c r="R1250" s="141"/>
      <c r="S1250" s="141">
        <f t="shared" si="387"/>
        <v>16957000</v>
      </c>
      <c r="T1250" s="141">
        <v>0</v>
      </c>
      <c r="U1250" s="141">
        <v>0</v>
      </c>
      <c r="V1250" s="141"/>
      <c r="W1250" s="141"/>
      <c r="X1250" s="141"/>
      <c r="Y1250" s="141"/>
      <c r="Z1250" s="141">
        <v>0</v>
      </c>
      <c r="AA1250" s="34">
        <v>0</v>
      </c>
      <c r="AB1250" s="8">
        <f t="shared" si="395"/>
        <v>682925.75342465751</v>
      </c>
      <c r="AC1250" s="4">
        <f t="shared" si="391"/>
        <v>1271775</v>
      </c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U1250" s="2"/>
      <c r="AV1250" s="2"/>
      <c r="AW1250" s="2"/>
      <c r="AX1250" s="2"/>
      <c r="AY1250" s="2"/>
      <c r="AZ1250" s="2"/>
      <c r="BA1250" s="2"/>
      <c r="BB1250" s="2"/>
      <c r="BC1250" s="2"/>
      <c r="BD1250" s="2"/>
      <c r="BE1250" s="2"/>
      <c r="BF1250" s="2"/>
      <c r="BG1250" s="2"/>
      <c r="BH1250" s="2"/>
      <c r="BI1250" s="2"/>
    </row>
    <row r="1251" spans="1:61" s="145" customFormat="1" ht="27.6" customHeight="1" x14ac:dyDescent="0.2">
      <c r="A1251" s="164">
        <v>1235</v>
      </c>
      <c r="B1251" s="139" t="s">
        <v>770</v>
      </c>
      <c r="C1251" s="9" t="s">
        <v>642</v>
      </c>
      <c r="D1251" s="71">
        <v>24989000</v>
      </c>
      <c r="E1251" s="146"/>
      <c r="F1251" s="146"/>
      <c r="G1251" s="146"/>
      <c r="H1251" s="54">
        <v>7.5</v>
      </c>
      <c r="I1251" s="146"/>
      <c r="J1251" s="146"/>
      <c r="K1251" s="146"/>
      <c r="L1251" s="146"/>
      <c r="M1251" s="141">
        <v>0</v>
      </c>
      <c r="N1251" s="141">
        <v>0</v>
      </c>
      <c r="O1251" s="141"/>
      <c r="P1251" s="141"/>
      <c r="Q1251" s="141"/>
      <c r="R1251" s="141"/>
      <c r="S1251" s="141">
        <f t="shared" si="387"/>
        <v>24989000</v>
      </c>
      <c r="T1251" s="141">
        <v>0</v>
      </c>
      <c r="U1251" s="141">
        <v>0</v>
      </c>
      <c r="V1251" s="141"/>
      <c r="W1251" s="141"/>
      <c r="X1251" s="141"/>
      <c r="Y1251" s="141"/>
      <c r="Z1251" s="141">
        <v>0</v>
      </c>
      <c r="AA1251" s="34">
        <v>0</v>
      </c>
      <c r="AB1251" s="8">
        <f>(S1251*7.5%)/365*195</f>
        <v>1001271.5753424658</v>
      </c>
      <c r="AC1251" s="4">
        <f t="shared" si="391"/>
        <v>1874175</v>
      </c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U1251" s="2"/>
      <c r="AV1251" s="2"/>
      <c r="AW1251" s="2"/>
      <c r="AX1251" s="2"/>
      <c r="AY1251" s="2"/>
      <c r="AZ1251" s="2"/>
      <c r="BA1251" s="2"/>
      <c r="BB1251" s="2"/>
      <c r="BC1251" s="2"/>
      <c r="BD1251" s="2"/>
      <c r="BE1251" s="2"/>
      <c r="BF1251" s="2"/>
      <c r="BG1251" s="2"/>
      <c r="BH1251" s="2"/>
      <c r="BI1251" s="2"/>
    </row>
    <row r="1252" spans="1:61" s="145" customFormat="1" ht="27.6" customHeight="1" x14ac:dyDescent="0.2">
      <c r="A1252" s="164">
        <v>1236</v>
      </c>
      <c r="B1252" s="139" t="s">
        <v>770</v>
      </c>
      <c r="C1252" s="9" t="s">
        <v>642</v>
      </c>
      <c r="D1252" s="71">
        <v>5756000</v>
      </c>
      <c r="E1252" s="146"/>
      <c r="F1252" s="146"/>
      <c r="G1252" s="146"/>
      <c r="H1252" s="54">
        <v>7.5</v>
      </c>
      <c r="I1252" s="146"/>
      <c r="J1252" s="146"/>
      <c r="K1252" s="146"/>
      <c r="L1252" s="146"/>
      <c r="M1252" s="141">
        <v>0</v>
      </c>
      <c r="N1252" s="141">
        <v>0</v>
      </c>
      <c r="O1252" s="141"/>
      <c r="P1252" s="141"/>
      <c r="Q1252" s="141"/>
      <c r="R1252" s="141"/>
      <c r="S1252" s="141">
        <f t="shared" si="387"/>
        <v>5756000</v>
      </c>
      <c r="T1252" s="141">
        <v>0</v>
      </c>
      <c r="U1252" s="141">
        <v>0</v>
      </c>
      <c r="V1252" s="141"/>
      <c r="W1252" s="141"/>
      <c r="X1252" s="141"/>
      <c r="Y1252" s="141"/>
      <c r="Z1252" s="141">
        <v>0</v>
      </c>
      <c r="AA1252" s="34">
        <v>0</v>
      </c>
      <c r="AB1252" s="8">
        <f t="shared" ref="AB1252:AB1254" si="396">(S1252*7.5%)/365*195</f>
        <v>230634.24657534246</v>
      </c>
      <c r="AC1252" s="4">
        <f t="shared" si="391"/>
        <v>431700</v>
      </c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U1252" s="2"/>
      <c r="AV1252" s="2"/>
      <c r="AW1252" s="2"/>
      <c r="AX1252" s="2"/>
      <c r="AY1252" s="2"/>
      <c r="AZ1252" s="2"/>
      <c r="BA1252" s="2"/>
      <c r="BB1252" s="2"/>
      <c r="BC1252" s="2"/>
      <c r="BD1252" s="2"/>
      <c r="BE1252" s="2"/>
      <c r="BF1252" s="2"/>
      <c r="BG1252" s="2"/>
      <c r="BH1252" s="2"/>
      <c r="BI1252" s="2"/>
    </row>
    <row r="1253" spans="1:61" s="145" customFormat="1" ht="27.6" customHeight="1" x14ac:dyDescent="0.2">
      <c r="A1253" s="164">
        <v>1237</v>
      </c>
      <c r="B1253" s="139" t="s">
        <v>770</v>
      </c>
      <c r="C1253" s="9" t="s">
        <v>642</v>
      </c>
      <c r="D1253" s="71">
        <v>36137000</v>
      </c>
      <c r="E1253" s="146"/>
      <c r="F1253" s="146"/>
      <c r="G1253" s="146"/>
      <c r="H1253" s="54">
        <v>7.5</v>
      </c>
      <c r="I1253" s="146"/>
      <c r="J1253" s="146"/>
      <c r="K1253" s="146"/>
      <c r="L1253" s="146"/>
      <c r="M1253" s="141">
        <v>0</v>
      </c>
      <c r="N1253" s="141">
        <v>0</v>
      </c>
      <c r="O1253" s="141"/>
      <c r="P1253" s="141"/>
      <c r="Q1253" s="141"/>
      <c r="R1253" s="141"/>
      <c r="S1253" s="141">
        <f t="shared" si="387"/>
        <v>36137000</v>
      </c>
      <c r="T1253" s="141">
        <v>0</v>
      </c>
      <c r="U1253" s="141">
        <v>0</v>
      </c>
      <c r="V1253" s="141"/>
      <c r="W1253" s="141"/>
      <c r="X1253" s="141"/>
      <c r="Y1253" s="141"/>
      <c r="Z1253" s="141">
        <v>0</v>
      </c>
      <c r="AA1253" s="34">
        <v>0</v>
      </c>
      <c r="AB1253" s="8">
        <f t="shared" si="396"/>
        <v>1447955.1369863015</v>
      </c>
      <c r="AC1253" s="4">
        <f t="shared" si="391"/>
        <v>2710275</v>
      </c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  <c r="AT1253" s="2"/>
      <c r="AU1253" s="2"/>
      <c r="AV1253" s="2"/>
      <c r="AW1253" s="2"/>
      <c r="AX1253" s="2"/>
      <c r="AY1253" s="2"/>
      <c r="AZ1253" s="2"/>
      <c r="BA1253" s="2"/>
      <c r="BB1253" s="2"/>
      <c r="BC1253" s="2"/>
      <c r="BD1253" s="2"/>
      <c r="BE1253" s="2"/>
      <c r="BF1253" s="2"/>
      <c r="BG1253" s="2"/>
      <c r="BH1253" s="2"/>
      <c r="BI1253" s="2"/>
    </row>
    <row r="1254" spans="1:61" s="145" customFormat="1" ht="27.6" customHeight="1" x14ac:dyDescent="0.2">
      <c r="A1254" s="164">
        <v>1238</v>
      </c>
      <c r="B1254" s="139" t="s">
        <v>770</v>
      </c>
      <c r="C1254" s="9" t="s">
        <v>642</v>
      </c>
      <c r="D1254" s="71">
        <v>12791000</v>
      </c>
      <c r="E1254" s="146"/>
      <c r="F1254" s="146"/>
      <c r="G1254" s="146"/>
      <c r="H1254" s="54">
        <v>7.5</v>
      </c>
      <c r="I1254" s="146"/>
      <c r="J1254" s="146"/>
      <c r="K1254" s="146"/>
      <c r="L1254" s="146"/>
      <c r="M1254" s="141">
        <v>0</v>
      </c>
      <c r="N1254" s="141">
        <v>0</v>
      </c>
      <c r="O1254" s="141"/>
      <c r="P1254" s="141"/>
      <c r="Q1254" s="141"/>
      <c r="R1254" s="141"/>
      <c r="S1254" s="141">
        <f t="shared" si="387"/>
        <v>12791000</v>
      </c>
      <c r="T1254" s="141">
        <v>0</v>
      </c>
      <c r="U1254" s="141">
        <v>0</v>
      </c>
      <c r="V1254" s="141"/>
      <c r="W1254" s="141"/>
      <c r="X1254" s="141"/>
      <c r="Y1254" s="141"/>
      <c r="Z1254" s="141">
        <v>0</v>
      </c>
      <c r="AA1254" s="34">
        <v>0</v>
      </c>
      <c r="AB1254" s="8">
        <f t="shared" si="396"/>
        <v>512516.09589041094</v>
      </c>
      <c r="AC1254" s="4">
        <f t="shared" si="391"/>
        <v>959325</v>
      </c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U1254" s="2"/>
      <c r="AV1254" s="2"/>
      <c r="AW1254" s="2"/>
      <c r="AX1254" s="2"/>
      <c r="AY1254" s="2"/>
      <c r="AZ1254" s="2"/>
      <c r="BA1254" s="2"/>
      <c r="BB1254" s="2"/>
      <c r="BC1254" s="2"/>
      <c r="BD1254" s="2"/>
      <c r="BE1254" s="2"/>
      <c r="BF1254" s="2"/>
      <c r="BG1254" s="2"/>
      <c r="BH1254" s="2"/>
      <c r="BI1254" s="2"/>
    </row>
    <row r="1255" spans="1:61" s="145" customFormat="1" ht="27.6" customHeight="1" x14ac:dyDescent="0.2">
      <c r="A1255" s="164">
        <v>1239</v>
      </c>
      <c r="B1255" s="139" t="s">
        <v>771</v>
      </c>
      <c r="C1255" s="9" t="s">
        <v>642</v>
      </c>
      <c r="D1255" s="71">
        <v>28803000</v>
      </c>
      <c r="E1255" s="146"/>
      <c r="F1255" s="146"/>
      <c r="G1255" s="146"/>
      <c r="H1255" s="54">
        <v>7.5</v>
      </c>
      <c r="I1255" s="146"/>
      <c r="J1255" s="146"/>
      <c r="K1255" s="146"/>
      <c r="L1255" s="146"/>
      <c r="M1255" s="141">
        <v>0</v>
      </c>
      <c r="N1255" s="141">
        <v>0</v>
      </c>
      <c r="O1255" s="141"/>
      <c r="P1255" s="141"/>
      <c r="Q1255" s="141"/>
      <c r="R1255" s="141"/>
      <c r="S1255" s="141">
        <f t="shared" si="387"/>
        <v>28803000</v>
      </c>
      <c r="T1255" s="141">
        <v>0</v>
      </c>
      <c r="U1255" s="141">
        <v>0</v>
      </c>
      <c r="V1255" s="141"/>
      <c r="W1255" s="141"/>
      <c r="X1255" s="141"/>
      <c r="Y1255" s="141"/>
      <c r="Z1255" s="141">
        <v>0</v>
      </c>
      <c r="AA1255" s="34">
        <v>0</v>
      </c>
      <c r="AB1255" s="8">
        <f>(S1255*7.5%)/365*191</f>
        <v>1130419.1095890412</v>
      </c>
      <c r="AC1255" s="4">
        <f t="shared" si="391"/>
        <v>2160225</v>
      </c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U1255" s="2"/>
      <c r="AV1255" s="2"/>
      <c r="AW1255" s="2"/>
      <c r="AX1255" s="2"/>
      <c r="AY1255" s="2"/>
      <c r="AZ1255" s="2"/>
      <c r="BA1255" s="2"/>
      <c r="BB1255" s="2"/>
      <c r="BC1255" s="2"/>
      <c r="BD1255" s="2"/>
      <c r="BE1255" s="2"/>
      <c r="BF1255" s="2"/>
      <c r="BG1255" s="2"/>
      <c r="BH1255" s="2"/>
      <c r="BI1255" s="2"/>
    </row>
    <row r="1256" spans="1:61" s="145" customFormat="1" ht="27.6" customHeight="1" x14ac:dyDescent="0.2">
      <c r="A1256" s="164">
        <v>1240</v>
      </c>
      <c r="B1256" s="139" t="s">
        <v>774</v>
      </c>
      <c r="C1256" s="9" t="s">
        <v>642</v>
      </c>
      <c r="D1256" s="71">
        <v>10010000</v>
      </c>
      <c r="E1256" s="146"/>
      <c r="F1256" s="146"/>
      <c r="G1256" s="146"/>
      <c r="H1256" s="54">
        <v>7.5</v>
      </c>
      <c r="I1256" s="146"/>
      <c r="J1256" s="146"/>
      <c r="K1256" s="146"/>
      <c r="L1256" s="146"/>
      <c r="M1256" s="141">
        <v>0</v>
      </c>
      <c r="N1256" s="141">
        <v>0</v>
      </c>
      <c r="O1256" s="141"/>
      <c r="P1256" s="141"/>
      <c r="Q1256" s="141"/>
      <c r="R1256" s="141"/>
      <c r="S1256" s="141">
        <f t="shared" si="387"/>
        <v>10010000</v>
      </c>
      <c r="T1256" s="141">
        <v>0</v>
      </c>
      <c r="U1256" s="141">
        <v>0</v>
      </c>
      <c r="V1256" s="141"/>
      <c r="W1256" s="141"/>
      <c r="X1256" s="141"/>
      <c r="Y1256" s="141"/>
      <c r="Z1256" s="141">
        <v>0</v>
      </c>
      <c r="AA1256" s="34">
        <v>0</v>
      </c>
      <c r="AB1256" s="8">
        <f>(S1256*7.5%)/365*162</f>
        <v>333209.58904109587</v>
      </c>
      <c r="AC1256" s="4">
        <f t="shared" si="391"/>
        <v>750750</v>
      </c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U1256" s="2"/>
      <c r="AV1256" s="2"/>
      <c r="AW1256" s="2"/>
      <c r="AX1256" s="2"/>
      <c r="AY1256" s="2"/>
      <c r="AZ1256" s="2"/>
      <c r="BA1256" s="2"/>
      <c r="BB1256" s="2"/>
      <c r="BC1256" s="2"/>
      <c r="BD1256" s="2"/>
      <c r="BE1256" s="2"/>
      <c r="BF1256" s="2"/>
      <c r="BG1256" s="2"/>
      <c r="BH1256" s="2"/>
      <c r="BI1256" s="2"/>
    </row>
    <row r="1257" spans="1:61" s="145" customFormat="1" ht="27.6" customHeight="1" x14ac:dyDescent="0.2">
      <c r="A1257" s="164">
        <v>1241</v>
      </c>
      <c r="B1257" s="139" t="s">
        <v>774</v>
      </c>
      <c r="C1257" s="9" t="s">
        <v>642</v>
      </c>
      <c r="D1257" s="71">
        <v>35759000</v>
      </c>
      <c r="E1257" s="146"/>
      <c r="F1257" s="146"/>
      <c r="G1257" s="146"/>
      <c r="H1257" s="54">
        <v>7.5</v>
      </c>
      <c r="I1257" s="146"/>
      <c r="J1257" s="146"/>
      <c r="K1257" s="146"/>
      <c r="L1257" s="146"/>
      <c r="M1257" s="141">
        <v>0</v>
      </c>
      <c r="N1257" s="141">
        <v>0</v>
      </c>
      <c r="O1257" s="141"/>
      <c r="P1257" s="141"/>
      <c r="Q1257" s="141"/>
      <c r="R1257" s="141"/>
      <c r="S1257" s="141">
        <f t="shared" si="387"/>
        <v>35759000</v>
      </c>
      <c r="T1257" s="141">
        <v>0</v>
      </c>
      <c r="U1257" s="141">
        <v>0</v>
      </c>
      <c r="V1257" s="141"/>
      <c r="W1257" s="141"/>
      <c r="X1257" s="141"/>
      <c r="Y1257" s="141"/>
      <c r="Z1257" s="141">
        <v>0</v>
      </c>
      <c r="AA1257" s="34">
        <v>0</v>
      </c>
      <c r="AB1257" s="8">
        <f t="shared" ref="AB1257" si="397">(S1257*7.5%)/365*162</f>
        <v>1190333.8356164384</v>
      </c>
      <c r="AC1257" s="4">
        <f t="shared" si="391"/>
        <v>2681925</v>
      </c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Q1257" s="2"/>
      <c r="AR1257" s="2"/>
      <c r="AS1257" s="2"/>
      <c r="AT1257" s="2"/>
      <c r="AU1257" s="2"/>
      <c r="AV1257" s="2"/>
      <c r="AW1257" s="2"/>
      <c r="AX1257" s="2"/>
      <c r="AY1257" s="2"/>
      <c r="AZ1257" s="2"/>
      <c r="BA1257" s="2"/>
      <c r="BB1257" s="2"/>
      <c r="BC1257" s="2"/>
      <c r="BD1257" s="2"/>
      <c r="BE1257" s="2"/>
      <c r="BF1257" s="2"/>
      <c r="BG1257" s="2"/>
      <c r="BH1257" s="2"/>
      <c r="BI1257" s="2"/>
    </row>
    <row r="1258" spans="1:61" s="145" customFormat="1" ht="27.6" customHeight="1" x14ac:dyDescent="0.2">
      <c r="A1258" s="164">
        <v>1242</v>
      </c>
      <c r="B1258" s="139" t="s">
        <v>775</v>
      </c>
      <c r="C1258" s="9" t="s">
        <v>642</v>
      </c>
      <c r="D1258" s="71">
        <v>12830000</v>
      </c>
      <c r="E1258" s="146"/>
      <c r="F1258" s="146"/>
      <c r="G1258" s="146"/>
      <c r="H1258" s="54">
        <v>7.5</v>
      </c>
      <c r="I1258" s="146"/>
      <c r="J1258" s="146"/>
      <c r="K1258" s="146"/>
      <c r="L1258" s="146"/>
      <c r="M1258" s="141">
        <v>0</v>
      </c>
      <c r="N1258" s="141">
        <v>0</v>
      </c>
      <c r="O1258" s="141"/>
      <c r="P1258" s="141"/>
      <c r="Q1258" s="141"/>
      <c r="R1258" s="141"/>
      <c r="S1258" s="141">
        <f t="shared" si="387"/>
        <v>12830000</v>
      </c>
      <c r="T1258" s="141">
        <v>0</v>
      </c>
      <c r="U1258" s="141">
        <v>0</v>
      </c>
      <c r="V1258" s="141"/>
      <c r="W1258" s="141"/>
      <c r="X1258" s="141"/>
      <c r="Y1258" s="141"/>
      <c r="Z1258" s="141">
        <v>0</v>
      </c>
      <c r="AA1258" s="34">
        <v>0</v>
      </c>
      <c r="AB1258" s="8">
        <f>(S1258*7.5%)/365*161</f>
        <v>424444.52054794523</v>
      </c>
      <c r="AC1258" s="4">
        <f t="shared" si="391"/>
        <v>962250</v>
      </c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  <c r="AT1258" s="2"/>
      <c r="AU1258" s="2"/>
      <c r="AV1258" s="2"/>
      <c r="AW1258" s="2"/>
      <c r="AX1258" s="2"/>
      <c r="AY1258" s="2"/>
      <c r="AZ1258" s="2"/>
      <c r="BA1258" s="2"/>
      <c r="BB1258" s="2"/>
      <c r="BC1258" s="2"/>
      <c r="BD1258" s="2"/>
      <c r="BE1258" s="2"/>
      <c r="BF1258" s="2"/>
      <c r="BG1258" s="2"/>
      <c r="BH1258" s="2"/>
      <c r="BI1258" s="2"/>
    </row>
    <row r="1259" spans="1:61" s="145" customFormat="1" ht="27.6" customHeight="1" x14ac:dyDescent="0.2">
      <c r="A1259" s="164">
        <v>1243</v>
      </c>
      <c r="B1259" s="139" t="s">
        <v>776</v>
      </c>
      <c r="C1259" s="9" t="s">
        <v>642</v>
      </c>
      <c r="D1259" s="71">
        <v>6725000</v>
      </c>
      <c r="E1259" s="146"/>
      <c r="F1259" s="146"/>
      <c r="G1259" s="146"/>
      <c r="H1259" s="54">
        <v>7.5</v>
      </c>
      <c r="I1259" s="146"/>
      <c r="J1259" s="146"/>
      <c r="K1259" s="146"/>
      <c r="L1259" s="146"/>
      <c r="M1259" s="141">
        <v>0</v>
      </c>
      <c r="N1259" s="141">
        <v>0</v>
      </c>
      <c r="O1259" s="141"/>
      <c r="P1259" s="141"/>
      <c r="Q1259" s="141"/>
      <c r="R1259" s="141"/>
      <c r="S1259" s="141">
        <f t="shared" si="387"/>
        <v>6725000</v>
      </c>
      <c r="T1259" s="141">
        <v>0</v>
      </c>
      <c r="U1259" s="141">
        <v>0</v>
      </c>
      <c r="V1259" s="141"/>
      <c r="W1259" s="141"/>
      <c r="X1259" s="141"/>
      <c r="Y1259" s="141"/>
      <c r="Z1259" s="141">
        <v>0</v>
      </c>
      <c r="AA1259" s="34">
        <v>0</v>
      </c>
      <c r="AB1259" s="8">
        <f>(S1259*7.5%)/365*156</f>
        <v>215568.49315068492</v>
      </c>
      <c r="AC1259" s="4">
        <f t="shared" si="391"/>
        <v>504375</v>
      </c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</row>
    <row r="1260" spans="1:61" s="145" customFormat="1" ht="27.6" customHeight="1" x14ac:dyDescent="0.2">
      <c r="A1260" s="164">
        <v>1244</v>
      </c>
      <c r="B1260" s="139" t="s">
        <v>776</v>
      </c>
      <c r="C1260" s="9" t="s">
        <v>642</v>
      </c>
      <c r="D1260" s="71">
        <v>6433000</v>
      </c>
      <c r="E1260" s="146"/>
      <c r="F1260" s="146"/>
      <c r="G1260" s="146"/>
      <c r="H1260" s="54">
        <v>7.5</v>
      </c>
      <c r="I1260" s="146"/>
      <c r="J1260" s="146"/>
      <c r="K1260" s="146"/>
      <c r="L1260" s="146"/>
      <c r="M1260" s="141">
        <v>0</v>
      </c>
      <c r="N1260" s="141">
        <v>0</v>
      </c>
      <c r="O1260" s="141"/>
      <c r="P1260" s="141"/>
      <c r="Q1260" s="141"/>
      <c r="R1260" s="141"/>
      <c r="S1260" s="141">
        <f t="shared" si="387"/>
        <v>6433000</v>
      </c>
      <c r="T1260" s="141">
        <v>0</v>
      </c>
      <c r="U1260" s="141">
        <v>0</v>
      </c>
      <c r="V1260" s="141"/>
      <c r="W1260" s="141"/>
      <c r="X1260" s="141"/>
      <c r="Y1260" s="141"/>
      <c r="Z1260" s="141">
        <v>0</v>
      </c>
      <c r="AA1260" s="34">
        <v>0</v>
      </c>
      <c r="AB1260" s="8">
        <f>(S1260*7.5%)/365*156</f>
        <v>206208.49315068492</v>
      </c>
      <c r="AC1260" s="4">
        <f t="shared" si="391"/>
        <v>482475</v>
      </c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"/>
      <c r="BE1260" s="2"/>
      <c r="BF1260" s="2"/>
      <c r="BG1260" s="2"/>
      <c r="BH1260" s="2"/>
      <c r="BI1260" s="2"/>
    </row>
    <row r="1261" spans="1:61" s="145" customFormat="1" ht="27.6" customHeight="1" x14ac:dyDescent="0.2">
      <c r="A1261" s="164">
        <v>1245</v>
      </c>
      <c r="B1261" s="139" t="s">
        <v>779</v>
      </c>
      <c r="C1261" s="9" t="s">
        <v>642</v>
      </c>
      <c r="D1261" s="71">
        <v>23016000</v>
      </c>
      <c r="E1261" s="146"/>
      <c r="F1261" s="146"/>
      <c r="G1261" s="146"/>
      <c r="H1261" s="54">
        <v>7.5</v>
      </c>
      <c r="I1261" s="146"/>
      <c r="J1261" s="146"/>
      <c r="K1261" s="146"/>
      <c r="L1261" s="146"/>
      <c r="M1261" s="141">
        <v>0</v>
      </c>
      <c r="N1261" s="141">
        <v>0</v>
      </c>
      <c r="O1261" s="141"/>
      <c r="P1261" s="141"/>
      <c r="Q1261" s="141"/>
      <c r="R1261" s="141"/>
      <c r="S1261" s="141">
        <f t="shared" si="387"/>
        <v>23016000</v>
      </c>
      <c r="T1261" s="141">
        <v>0</v>
      </c>
      <c r="U1261" s="141">
        <v>0</v>
      </c>
      <c r="V1261" s="141"/>
      <c r="W1261" s="141"/>
      <c r="X1261" s="141"/>
      <c r="Y1261" s="141"/>
      <c r="Z1261" s="141">
        <v>0</v>
      </c>
      <c r="AA1261" s="34">
        <v>0</v>
      </c>
      <c r="AB1261" s="8">
        <f>(S1261*7.5%)/365*139</f>
        <v>657374.79452054796</v>
      </c>
      <c r="AC1261" s="4">
        <f t="shared" si="391"/>
        <v>1726200</v>
      </c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  <c r="AT1261" s="2"/>
      <c r="AU1261" s="2"/>
      <c r="AV1261" s="2"/>
      <c r="AW1261" s="2"/>
      <c r="AX1261" s="2"/>
      <c r="AY1261" s="2"/>
      <c r="AZ1261" s="2"/>
      <c r="BA1261" s="2"/>
      <c r="BB1261" s="2"/>
      <c r="BC1261" s="2"/>
      <c r="BD1261" s="2"/>
      <c r="BE1261" s="2"/>
      <c r="BF1261" s="2"/>
      <c r="BG1261" s="2"/>
      <c r="BH1261" s="2"/>
      <c r="BI1261" s="2"/>
    </row>
    <row r="1262" spans="1:61" s="145" customFormat="1" ht="27.6" customHeight="1" x14ac:dyDescent="0.2">
      <c r="A1262" s="164">
        <v>1246</v>
      </c>
      <c r="B1262" s="139" t="s">
        <v>779</v>
      </c>
      <c r="C1262" s="9" t="s">
        <v>642</v>
      </c>
      <c r="D1262" s="71">
        <v>13785000</v>
      </c>
      <c r="E1262" s="146"/>
      <c r="F1262" s="146"/>
      <c r="G1262" s="146"/>
      <c r="H1262" s="54">
        <v>7.5</v>
      </c>
      <c r="I1262" s="146"/>
      <c r="J1262" s="146"/>
      <c r="K1262" s="146"/>
      <c r="L1262" s="146"/>
      <c r="M1262" s="141">
        <v>0</v>
      </c>
      <c r="N1262" s="141">
        <v>0</v>
      </c>
      <c r="O1262" s="141"/>
      <c r="P1262" s="141"/>
      <c r="Q1262" s="141"/>
      <c r="R1262" s="141"/>
      <c r="S1262" s="141">
        <f t="shared" si="387"/>
        <v>13785000</v>
      </c>
      <c r="T1262" s="141">
        <v>0</v>
      </c>
      <c r="U1262" s="141">
        <v>0</v>
      </c>
      <c r="V1262" s="141"/>
      <c r="W1262" s="141"/>
      <c r="X1262" s="141"/>
      <c r="Y1262" s="141"/>
      <c r="Z1262" s="141">
        <v>0</v>
      </c>
      <c r="AA1262" s="34">
        <v>0</v>
      </c>
      <c r="AB1262" s="8">
        <f t="shared" ref="AB1262:AB1264" si="398">(S1262*7.5%)/365*139</f>
        <v>393722.26027397258</v>
      </c>
      <c r="AC1262" s="4">
        <f t="shared" si="391"/>
        <v>1033875</v>
      </c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U1262" s="2"/>
      <c r="AV1262" s="2"/>
      <c r="AW1262" s="2"/>
      <c r="AX1262" s="2"/>
      <c r="AY1262" s="2"/>
      <c r="AZ1262" s="2"/>
      <c r="BA1262" s="2"/>
      <c r="BB1262" s="2"/>
      <c r="BC1262" s="2"/>
      <c r="BD1262" s="2"/>
      <c r="BE1262" s="2"/>
      <c r="BF1262" s="2"/>
      <c r="BG1262" s="2"/>
      <c r="BH1262" s="2"/>
      <c r="BI1262" s="2"/>
    </row>
    <row r="1263" spans="1:61" s="145" customFormat="1" ht="27.6" customHeight="1" x14ac:dyDescent="0.2">
      <c r="A1263" s="164">
        <v>1247</v>
      </c>
      <c r="B1263" s="139" t="s">
        <v>779</v>
      </c>
      <c r="C1263" s="9" t="s">
        <v>642</v>
      </c>
      <c r="D1263" s="71">
        <v>35375000</v>
      </c>
      <c r="E1263" s="146"/>
      <c r="F1263" s="146"/>
      <c r="G1263" s="146"/>
      <c r="H1263" s="54">
        <v>7.5</v>
      </c>
      <c r="I1263" s="146"/>
      <c r="J1263" s="146"/>
      <c r="K1263" s="146"/>
      <c r="L1263" s="146"/>
      <c r="M1263" s="141">
        <v>0</v>
      </c>
      <c r="N1263" s="141">
        <v>0</v>
      </c>
      <c r="O1263" s="141"/>
      <c r="P1263" s="141"/>
      <c r="Q1263" s="141"/>
      <c r="R1263" s="141"/>
      <c r="S1263" s="141">
        <f t="shared" si="387"/>
        <v>35375000</v>
      </c>
      <c r="T1263" s="141">
        <v>0</v>
      </c>
      <c r="U1263" s="141">
        <v>0</v>
      </c>
      <c r="V1263" s="141"/>
      <c r="W1263" s="141"/>
      <c r="X1263" s="141"/>
      <c r="Y1263" s="141"/>
      <c r="Z1263" s="141">
        <v>0</v>
      </c>
      <c r="AA1263" s="34">
        <v>0</v>
      </c>
      <c r="AB1263" s="8">
        <f t="shared" si="398"/>
        <v>1010368.1506849314</v>
      </c>
      <c r="AC1263" s="4">
        <f t="shared" si="391"/>
        <v>2653125</v>
      </c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  <c r="AT1263" s="2"/>
      <c r="AU1263" s="2"/>
      <c r="AV1263" s="2"/>
      <c r="AW1263" s="2"/>
      <c r="AX1263" s="2"/>
      <c r="AY1263" s="2"/>
      <c r="AZ1263" s="2"/>
      <c r="BA1263" s="2"/>
      <c r="BB1263" s="2"/>
      <c r="BC1263" s="2"/>
      <c r="BD1263" s="2"/>
      <c r="BE1263" s="2"/>
      <c r="BF1263" s="2"/>
      <c r="BG1263" s="2"/>
      <c r="BH1263" s="2"/>
      <c r="BI1263" s="2"/>
    </row>
    <row r="1264" spans="1:61" s="145" customFormat="1" ht="27.6" customHeight="1" x14ac:dyDescent="0.2">
      <c r="A1264" s="164">
        <v>1248</v>
      </c>
      <c r="B1264" s="139" t="s">
        <v>779</v>
      </c>
      <c r="C1264" s="9" t="s">
        <v>642</v>
      </c>
      <c r="D1264" s="71">
        <v>8494000</v>
      </c>
      <c r="E1264" s="146"/>
      <c r="F1264" s="146"/>
      <c r="G1264" s="146"/>
      <c r="H1264" s="54">
        <v>7.5</v>
      </c>
      <c r="I1264" s="146"/>
      <c r="J1264" s="146"/>
      <c r="K1264" s="146"/>
      <c r="L1264" s="146"/>
      <c r="M1264" s="141">
        <v>0</v>
      </c>
      <c r="N1264" s="141">
        <v>0</v>
      </c>
      <c r="O1264" s="141"/>
      <c r="P1264" s="141"/>
      <c r="Q1264" s="141"/>
      <c r="R1264" s="141"/>
      <c r="S1264" s="141">
        <f t="shared" si="387"/>
        <v>8494000</v>
      </c>
      <c r="T1264" s="141">
        <v>0</v>
      </c>
      <c r="U1264" s="141">
        <v>0</v>
      </c>
      <c r="V1264" s="141"/>
      <c r="W1264" s="141"/>
      <c r="X1264" s="141"/>
      <c r="Y1264" s="141"/>
      <c r="Z1264" s="141">
        <v>0</v>
      </c>
      <c r="AA1264" s="34">
        <v>0</v>
      </c>
      <c r="AB1264" s="8">
        <f t="shared" si="398"/>
        <v>242602.60273972602</v>
      </c>
      <c r="AC1264" s="4">
        <f t="shared" si="391"/>
        <v>637050</v>
      </c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U1264" s="2"/>
      <c r="AV1264" s="2"/>
      <c r="AW1264" s="2"/>
      <c r="AX1264" s="2"/>
      <c r="AY1264" s="2"/>
      <c r="AZ1264" s="2"/>
      <c r="BA1264" s="2"/>
      <c r="BB1264" s="2"/>
      <c r="BC1264" s="2"/>
      <c r="BD1264" s="2"/>
      <c r="BE1264" s="2"/>
      <c r="BF1264" s="2"/>
      <c r="BG1264" s="2"/>
      <c r="BH1264" s="2"/>
      <c r="BI1264" s="2"/>
    </row>
    <row r="1265" spans="1:61" s="145" customFormat="1" ht="27.6" customHeight="1" x14ac:dyDescent="0.2">
      <c r="A1265" s="164">
        <v>1249</v>
      </c>
      <c r="B1265" s="139" t="s">
        <v>780</v>
      </c>
      <c r="C1265" s="9" t="s">
        <v>642</v>
      </c>
      <c r="D1265" s="71">
        <v>4305000</v>
      </c>
      <c r="E1265" s="146"/>
      <c r="F1265" s="146"/>
      <c r="G1265" s="146"/>
      <c r="H1265" s="54">
        <v>7.5</v>
      </c>
      <c r="I1265" s="146"/>
      <c r="J1265" s="146"/>
      <c r="K1265" s="146"/>
      <c r="L1265" s="146"/>
      <c r="M1265" s="141">
        <v>0</v>
      </c>
      <c r="N1265" s="141">
        <v>0</v>
      </c>
      <c r="O1265" s="141"/>
      <c r="P1265" s="141"/>
      <c r="Q1265" s="141"/>
      <c r="R1265" s="141"/>
      <c r="S1265" s="141">
        <f t="shared" si="387"/>
        <v>4305000</v>
      </c>
      <c r="T1265" s="141">
        <v>0</v>
      </c>
      <c r="U1265" s="141">
        <v>0</v>
      </c>
      <c r="V1265" s="141"/>
      <c r="W1265" s="141"/>
      <c r="X1265" s="141"/>
      <c r="Y1265" s="141"/>
      <c r="Z1265" s="141">
        <v>0</v>
      </c>
      <c r="AA1265" s="34">
        <v>0</v>
      </c>
      <c r="AB1265" s="8">
        <f>(S1265*7.5%)/365*135</f>
        <v>119419.5205479452</v>
      </c>
      <c r="AC1265" s="4">
        <f t="shared" si="391"/>
        <v>322875</v>
      </c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/>
      <c r="BE1265" s="2"/>
      <c r="BF1265" s="2"/>
      <c r="BG1265" s="2"/>
      <c r="BH1265" s="2"/>
      <c r="BI1265" s="2"/>
    </row>
    <row r="1266" spans="1:61" s="145" customFormat="1" ht="27.6" customHeight="1" x14ac:dyDescent="0.2">
      <c r="A1266" s="164">
        <v>1250</v>
      </c>
      <c r="B1266" s="139" t="s">
        <v>784</v>
      </c>
      <c r="C1266" s="9" t="s">
        <v>642</v>
      </c>
      <c r="D1266" s="71">
        <v>5754000</v>
      </c>
      <c r="E1266" s="146"/>
      <c r="F1266" s="146"/>
      <c r="G1266" s="146"/>
      <c r="H1266" s="54">
        <v>7.5</v>
      </c>
      <c r="I1266" s="146"/>
      <c r="J1266" s="146"/>
      <c r="K1266" s="146"/>
      <c r="L1266" s="146"/>
      <c r="M1266" s="141">
        <v>0</v>
      </c>
      <c r="N1266" s="141">
        <v>0</v>
      </c>
      <c r="O1266" s="141"/>
      <c r="P1266" s="141"/>
      <c r="Q1266" s="141"/>
      <c r="R1266" s="141"/>
      <c r="S1266" s="141">
        <f t="shared" si="387"/>
        <v>5754000</v>
      </c>
      <c r="T1266" s="141">
        <v>0</v>
      </c>
      <c r="U1266" s="141">
        <v>0</v>
      </c>
      <c r="V1266" s="141"/>
      <c r="W1266" s="141"/>
      <c r="X1266" s="141"/>
      <c r="Y1266" s="141"/>
      <c r="Z1266" s="141">
        <v>0</v>
      </c>
      <c r="AA1266" s="34">
        <v>0</v>
      </c>
      <c r="AB1266" s="8">
        <f>(S1266*7.5%)/365*114</f>
        <v>134785.4794520548</v>
      </c>
      <c r="AC1266" s="4">
        <f t="shared" si="391"/>
        <v>431550</v>
      </c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U1266" s="2"/>
      <c r="AV1266" s="2"/>
      <c r="AW1266" s="2"/>
      <c r="AX1266" s="2"/>
      <c r="AY1266" s="2"/>
      <c r="AZ1266" s="2"/>
      <c r="BA1266" s="2"/>
      <c r="BB1266" s="2"/>
      <c r="BC1266" s="2"/>
      <c r="BD1266" s="2"/>
      <c r="BE1266" s="2"/>
      <c r="BF1266" s="2"/>
      <c r="BG1266" s="2"/>
      <c r="BH1266" s="2"/>
      <c r="BI1266" s="2"/>
    </row>
    <row r="1267" spans="1:61" s="145" customFormat="1" ht="27.6" customHeight="1" x14ac:dyDescent="0.2">
      <c r="A1267" s="164">
        <v>1251</v>
      </c>
      <c r="B1267" s="139" t="s">
        <v>784</v>
      </c>
      <c r="C1267" s="9" t="s">
        <v>642</v>
      </c>
      <c r="D1267" s="71">
        <v>16076000</v>
      </c>
      <c r="E1267" s="146"/>
      <c r="F1267" s="146"/>
      <c r="G1267" s="146"/>
      <c r="H1267" s="54">
        <v>7.5</v>
      </c>
      <c r="I1267" s="146"/>
      <c r="J1267" s="146"/>
      <c r="K1267" s="146"/>
      <c r="L1267" s="146"/>
      <c r="M1267" s="141">
        <v>0</v>
      </c>
      <c r="N1267" s="141">
        <v>0</v>
      </c>
      <c r="O1267" s="141"/>
      <c r="P1267" s="141"/>
      <c r="Q1267" s="141"/>
      <c r="R1267" s="141"/>
      <c r="S1267" s="141">
        <f t="shared" si="387"/>
        <v>16076000</v>
      </c>
      <c r="T1267" s="141">
        <v>0</v>
      </c>
      <c r="U1267" s="141">
        <v>0</v>
      </c>
      <c r="V1267" s="141"/>
      <c r="W1267" s="141"/>
      <c r="X1267" s="141"/>
      <c r="Y1267" s="141"/>
      <c r="Z1267" s="141">
        <v>0</v>
      </c>
      <c r="AA1267" s="34">
        <v>0</v>
      </c>
      <c r="AB1267" s="8">
        <f>(S1267*7.5%)/365*114</f>
        <v>376574.79452054796</v>
      </c>
      <c r="AC1267" s="4">
        <f t="shared" si="391"/>
        <v>1205700</v>
      </c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Q1267" s="2"/>
      <c r="AR1267" s="2"/>
      <c r="AS1267" s="2"/>
      <c r="AT1267" s="2"/>
      <c r="AU1267" s="2"/>
      <c r="AV1267" s="2"/>
      <c r="AW1267" s="2"/>
      <c r="AX1267" s="2"/>
      <c r="AY1267" s="2"/>
      <c r="AZ1267" s="2"/>
      <c r="BA1267" s="2"/>
      <c r="BB1267" s="2"/>
      <c r="BC1267" s="2"/>
      <c r="BD1267" s="2"/>
      <c r="BE1267" s="2"/>
      <c r="BF1267" s="2"/>
      <c r="BG1267" s="2"/>
      <c r="BH1267" s="2"/>
      <c r="BI1267" s="2"/>
    </row>
    <row r="1268" spans="1:61" s="145" customFormat="1" ht="27.6" customHeight="1" x14ac:dyDescent="0.2">
      <c r="A1268" s="164">
        <v>1252</v>
      </c>
      <c r="B1268" s="139" t="s">
        <v>785</v>
      </c>
      <c r="C1268" s="9" t="s">
        <v>642</v>
      </c>
      <c r="D1268" s="71">
        <v>12124000</v>
      </c>
      <c r="E1268" s="146"/>
      <c r="F1268" s="146"/>
      <c r="G1268" s="146"/>
      <c r="H1268" s="54">
        <v>7.5</v>
      </c>
      <c r="I1268" s="146"/>
      <c r="J1268" s="146"/>
      <c r="K1268" s="146"/>
      <c r="L1268" s="146"/>
      <c r="M1268" s="141">
        <v>0</v>
      </c>
      <c r="N1268" s="141">
        <v>0</v>
      </c>
      <c r="O1268" s="141"/>
      <c r="P1268" s="141"/>
      <c r="Q1268" s="141"/>
      <c r="R1268" s="141"/>
      <c r="S1268" s="141">
        <f t="shared" si="387"/>
        <v>12124000</v>
      </c>
      <c r="T1268" s="141">
        <v>0</v>
      </c>
      <c r="U1268" s="141">
        <v>0</v>
      </c>
      <c r="V1268" s="141"/>
      <c r="W1268" s="141"/>
      <c r="X1268" s="141"/>
      <c r="Y1268" s="141"/>
      <c r="Z1268" s="141">
        <v>0</v>
      </c>
      <c r="AA1268" s="34">
        <v>0</v>
      </c>
      <c r="AB1268" s="8">
        <f>(S1268*7.5%)/365*113</f>
        <v>281509.31506849313</v>
      </c>
      <c r="AC1268" s="4">
        <f t="shared" si="391"/>
        <v>909300</v>
      </c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  <c r="AT1268" s="2"/>
      <c r="AU1268" s="2"/>
      <c r="AV1268" s="2"/>
      <c r="AW1268" s="2"/>
      <c r="AX1268" s="2"/>
      <c r="AY1268" s="2"/>
      <c r="AZ1268" s="2"/>
      <c r="BA1268" s="2"/>
      <c r="BB1268" s="2"/>
      <c r="BC1268" s="2"/>
      <c r="BD1268" s="2"/>
      <c r="BE1268" s="2"/>
      <c r="BF1268" s="2"/>
      <c r="BG1268" s="2"/>
      <c r="BH1268" s="2"/>
      <c r="BI1268" s="2"/>
    </row>
    <row r="1269" spans="1:61" s="145" customFormat="1" ht="27.6" customHeight="1" x14ac:dyDescent="0.2">
      <c r="A1269" s="164">
        <v>1253</v>
      </c>
      <c r="B1269" s="139" t="s">
        <v>785</v>
      </c>
      <c r="C1269" s="9" t="s">
        <v>642</v>
      </c>
      <c r="D1269" s="71">
        <v>4241000</v>
      </c>
      <c r="E1269" s="146"/>
      <c r="F1269" s="146"/>
      <c r="G1269" s="146"/>
      <c r="H1269" s="54">
        <v>7.5</v>
      </c>
      <c r="I1269" s="146"/>
      <c r="J1269" s="146"/>
      <c r="K1269" s="146"/>
      <c r="L1269" s="146"/>
      <c r="M1269" s="141">
        <v>0</v>
      </c>
      <c r="N1269" s="141">
        <v>0</v>
      </c>
      <c r="O1269" s="141"/>
      <c r="P1269" s="141"/>
      <c r="Q1269" s="141"/>
      <c r="R1269" s="141"/>
      <c r="S1269" s="141">
        <f t="shared" si="387"/>
        <v>4241000</v>
      </c>
      <c r="T1269" s="141">
        <v>0</v>
      </c>
      <c r="U1269" s="141">
        <v>0</v>
      </c>
      <c r="V1269" s="141"/>
      <c r="W1269" s="141"/>
      <c r="X1269" s="141"/>
      <c r="Y1269" s="141"/>
      <c r="Z1269" s="141">
        <v>0</v>
      </c>
      <c r="AA1269" s="34">
        <v>0</v>
      </c>
      <c r="AB1269" s="8">
        <f t="shared" ref="AB1269" si="399">(S1269*7.5%)/365*113</f>
        <v>98472.534246575335</v>
      </c>
      <c r="AC1269" s="4">
        <f t="shared" si="391"/>
        <v>318075</v>
      </c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/>
      <c r="AU1269" s="2"/>
      <c r="AV1269" s="2"/>
      <c r="AW1269" s="2"/>
      <c r="AX1269" s="2"/>
      <c r="AY1269" s="2"/>
      <c r="AZ1269" s="2"/>
      <c r="BA1269" s="2"/>
      <c r="BB1269" s="2"/>
      <c r="BC1269" s="2"/>
      <c r="BD1269" s="2"/>
      <c r="BE1269" s="2"/>
      <c r="BF1269" s="2"/>
      <c r="BG1269" s="2"/>
      <c r="BH1269" s="2"/>
      <c r="BI1269" s="2"/>
    </row>
    <row r="1270" spans="1:61" s="145" customFormat="1" ht="27.6" customHeight="1" x14ac:dyDescent="0.2">
      <c r="A1270" s="164">
        <v>1254</v>
      </c>
      <c r="B1270" s="139" t="s">
        <v>786</v>
      </c>
      <c r="C1270" s="9" t="s">
        <v>642</v>
      </c>
      <c r="D1270" s="71">
        <v>16975000</v>
      </c>
      <c r="E1270" s="146"/>
      <c r="F1270" s="146"/>
      <c r="G1270" s="146"/>
      <c r="H1270" s="54">
        <v>7.5</v>
      </c>
      <c r="I1270" s="146"/>
      <c r="J1270" s="146"/>
      <c r="K1270" s="146"/>
      <c r="L1270" s="146"/>
      <c r="M1270" s="141">
        <v>0</v>
      </c>
      <c r="N1270" s="141">
        <v>0</v>
      </c>
      <c r="O1270" s="141"/>
      <c r="P1270" s="141"/>
      <c r="Q1270" s="141"/>
      <c r="R1270" s="141"/>
      <c r="S1270" s="141">
        <f t="shared" si="387"/>
        <v>16975000</v>
      </c>
      <c r="T1270" s="141">
        <v>0</v>
      </c>
      <c r="U1270" s="141">
        <v>0</v>
      </c>
      <c r="V1270" s="141"/>
      <c r="W1270" s="141"/>
      <c r="X1270" s="141"/>
      <c r="Y1270" s="141"/>
      <c r="Z1270" s="141">
        <v>0</v>
      </c>
      <c r="AA1270" s="34">
        <v>0</v>
      </c>
      <c r="AB1270" s="8">
        <f>(S1270*7.5%)/365*92</f>
        <v>320897.26027397258</v>
      </c>
      <c r="AC1270" s="4">
        <f t="shared" si="391"/>
        <v>1273125</v>
      </c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  <c r="AT1270" s="2"/>
      <c r="AU1270" s="2"/>
      <c r="AV1270" s="2"/>
      <c r="AW1270" s="2"/>
      <c r="AX1270" s="2"/>
      <c r="AY1270" s="2"/>
      <c r="AZ1270" s="2"/>
      <c r="BA1270" s="2"/>
      <c r="BB1270" s="2"/>
      <c r="BC1270" s="2"/>
      <c r="BD1270" s="2"/>
      <c r="BE1270" s="2"/>
      <c r="BF1270" s="2"/>
      <c r="BG1270" s="2"/>
      <c r="BH1270" s="2"/>
      <c r="BI1270" s="2"/>
    </row>
    <row r="1271" spans="1:61" s="145" customFormat="1" ht="27.6" customHeight="1" x14ac:dyDescent="0.2">
      <c r="A1271" s="164">
        <v>1255</v>
      </c>
      <c r="B1271" s="139" t="s">
        <v>786</v>
      </c>
      <c r="C1271" s="9" t="s">
        <v>642</v>
      </c>
      <c r="D1271" s="71">
        <v>18125000</v>
      </c>
      <c r="E1271" s="146"/>
      <c r="F1271" s="146"/>
      <c r="G1271" s="146"/>
      <c r="H1271" s="54">
        <v>7.5</v>
      </c>
      <c r="I1271" s="146"/>
      <c r="J1271" s="146"/>
      <c r="K1271" s="146"/>
      <c r="L1271" s="146"/>
      <c r="M1271" s="141">
        <v>0</v>
      </c>
      <c r="N1271" s="141">
        <v>0</v>
      </c>
      <c r="O1271" s="141"/>
      <c r="P1271" s="141"/>
      <c r="Q1271" s="141"/>
      <c r="R1271" s="141"/>
      <c r="S1271" s="141">
        <f t="shared" si="387"/>
        <v>18125000</v>
      </c>
      <c r="T1271" s="141">
        <v>0</v>
      </c>
      <c r="U1271" s="141">
        <v>0</v>
      </c>
      <c r="V1271" s="141"/>
      <c r="W1271" s="141"/>
      <c r="X1271" s="141"/>
      <c r="Y1271" s="141"/>
      <c r="Z1271" s="141">
        <v>0</v>
      </c>
      <c r="AA1271" s="34">
        <v>0</v>
      </c>
      <c r="AB1271" s="8">
        <f>(S1271*7.5%)/365*92</f>
        <v>342636.98630136985</v>
      </c>
      <c r="AC1271" s="4">
        <f t="shared" si="391"/>
        <v>1359375</v>
      </c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U1271" s="2"/>
      <c r="AV1271" s="2"/>
      <c r="AW1271" s="2"/>
      <c r="AX1271" s="2"/>
      <c r="AY1271" s="2"/>
      <c r="AZ1271" s="2"/>
      <c r="BA1271" s="2"/>
      <c r="BB1271" s="2"/>
      <c r="BC1271" s="2"/>
      <c r="BD1271" s="2"/>
      <c r="BE1271" s="2"/>
      <c r="BF1271" s="2"/>
      <c r="BG1271" s="2"/>
      <c r="BH1271" s="2"/>
      <c r="BI1271" s="2"/>
    </row>
    <row r="1272" spans="1:61" s="145" customFormat="1" ht="27.6" customHeight="1" x14ac:dyDescent="0.2">
      <c r="A1272" s="164">
        <v>1256</v>
      </c>
      <c r="B1272" s="139" t="s">
        <v>787</v>
      </c>
      <c r="C1272" s="9" t="s">
        <v>642</v>
      </c>
      <c r="D1272" s="71">
        <v>19377000</v>
      </c>
      <c r="E1272" s="146"/>
      <c r="F1272" s="146"/>
      <c r="G1272" s="146"/>
      <c r="H1272" s="54">
        <v>7.5</v>
      </c>
      <c r="I1272" s="146"/>
      <c r="J1272" s="146"/>
      <c r="K1272" s="146"/>
      <c r="L1272" s="146"/>
      <c r="M1272" s="141">
        <v>0</v>
      </c>
      <c r="N1272" s="141">
        <v>0</v>
      </c>
      <c r="O1272" s="141"/>
      <c r="P1272" s="141"/>
      <c r="Q1272" s="141"/>
      <c r="R1272" s="141"/>
      <c r="S1272" s="141">
        <f t="shared" si="387"/>
        <v>19377000</v>
      </c>
      <c r="T1272" s="141">
        <v>0</v>
      </c>
      <c r="U1272" s="141">
        <v>0</v>
      </c>
      <c r="V1272" s="141"/>
      <c r="W1272" s="141"/>
      <c r="X1272" s="141"/>
      <c r="Y1272" s="141"/>
      <c r="Z1272" s="141">
        <v>0</v>
      </c>
      <c r="AA1272" s="34">
        <v>0</v>
      </c>
      <c r="AB1272" s="8">
        <f>(S1272*7.5%)/365*91</f>
        <v>362323.35616438353</v>
      </c>
      <c r="AC1272" s="4">
        <f t="shared" si="391"/>
        <v>1453275</v>
      </c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Q1272" s="2"/>
      <c r="AR1272" s="2"/>
      <c r="AS1272" s="2"/>
      <c r="AT1272" s="2"/>
      <c r="AU1272" s="2"/>
      <c r="AV1272" s="2"/>
      <c r="AW1272" s="2"/>
      <c r="AX1272" s="2"/>
      <c r="AY1272" s="2"/>
      <c r="AZ1272" s="2"/>
      <c r="BA1272" s="2"/>
      <c r="BB1272" s="2"/>
      <c r="BC1272" s="2"/>
      <c r="BD1272" s="2"/>
      <c r="BE1272" s="2"/>
      <c r="BF1272" s="2"/>
      <c r="BG1272" s="2"/>
      <c r="BH1272" s="2"/>
      <c r="BI1272" s="2"/>
    </row>
    <row r="1273" spans="1:61" s="145" customFormat="1" ht="27.6" customHeight="1" x14ac:dyDescent="0.2">
      <c r="A1273" s="164">
        <v>1257</v>
      </c>
      <c r="B1273" s="139" t="s">
        <v>790</v>
      </c>
      <c r="C1273" s="9" t="s">
        <v>642</v>
      </c>
      <c r="D1273" s="71">
        <v>63269000</v>
      </c>
      <c r="E1273" s="146"/>
      <c r="F1273" s="146"/>
      <c r="G1273" s="146"/>
      <c r="H1273" s="54">
        <v>7.5</v>
      </c>
      <c r="I1273" s="146"/>
      <c r="J1273" s="146"/>
      <c r="K1273" s="146"/>
      <c r="L1273" s="146"/>
      <c r="M1273" s="141">
        <v>0</v>
      </c>
      <c r="N1273" s="141">
        <v>0</v>
      </c>
      <c r="O1273" s="141"/>
      <c r="P1273" s="141"/>
      <c r="Q1273" s="141"/>
      <c r="R1273" s="141"/>
      <c r="S1273" s="141">
        <f t="shared" si="387"/>
        <v>63269000</v>
      </c>
      <c r="T1273" s="141">
        <v>0</v>
      </c>
      <c r="U1273" s="141">
        <v>0</v>
      </c>
      <c r="V1273" s="141"/>
      <c r="W1273" s="141"/>
      <c r="X1273" s="141"/>
      <c r="Y1273" s="141"/>
      <c r="Z1273" s="141">
        <v>0</v>
      </c>
      <c r="AA1273" s="34">
        <v>0</v>
      </c>
      <c r="AB1273" s="8">
        <f>(S1273*7.5%)/365*79</f>
        <v>1027037.8767123288</v>
      </c>
      <c r="AC1273" s="4">
        <f t="shared" si="391"/>
        <v>4745175</v>
      </c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  <c r="AT1273" s="2"/>
      <c r="AU1273" s="2"/>
      <c r="AV1273" s="2"/>
      <c r="AW1273" s="2"/>
      <c r="AX1273" s="2"/>
      <c r="AY1273" s="2"/>
      <c r="AZ1273" s="2"/>
      <c r="BA1273" s="2"/>
      <c r="BB1273" s="2"/>
      <c r="BC1273" s="2"/>
      <c r="BD1273" s="2"/>
      <c r="BE1273" s="2"/>
      <c r="BF1273" s="2"/>
      <c r="BG1273" s="2"/>
      <c r="BH1273" s="2"/>
      <c r="BI1273" s="2"/>
    </row>
    <row r="1274" spans="1:61" s="145" customFormat="1" ht="27.6" customHeight="1" x14ac:dyDescent="0.2">
      <c r="A1274" s="164">
        <v>1258</v>
      </c>
      <c r="B1274" s="139" t="s">
        <v>31</v>
      </c>
      <c r="C1274" s="9" t="s">
        <v>642</v>
      </c>
      <c r="D1274" s="71">
        <v>22683000</v>
      </c>
      <c r="E1274" s="146"/>
      <c r="F1274" s="146"/>
      <c r="G1274" s="146"/>
      <c r="H1274" s="54">
        <v>7.5</v>
      </c>
      <c r="I1274" s="146"/>
      <c r="J1274" s="146"/>
      <c r="K1274" s="146"/>
      <c r="L1274" s="146"/>
      <c r="M1274" s="141">
        <v>0</v>
      </c>
      <c r="N1274" s="141">
        <v>0</v>
      </c>
      <c r="O1274" s="141"/>
      <c r="P1274" s="141"/>
      <c r="Q1274" s="141"/>
      <c r="R1274" s="141"/>
      <c r="S1274" s="141">
        <f t="shared" si="387"/>
        <v>22683000</v>
      </c>
      <c r="T1274" s="141">
        <v>0</v>
      </c>
      <c r="U1274" s="141">
        <v>0</v>
      </c>
      <c r="V1274" s="141"/>
      <c r="W1274" s="141"/>
      <c r="X1274" s="141"/>
      <c r="Y1274" s="141"/>
      <c r="Z1274" s="141">
        <v>0</v>
      </c>
      <c r="AA1274" s="34">
        <v>0</v>
      </c>
      <c r="AB1274" s="8">
        <f>(S1274*7.5%)/365*78</f>
        <v>363549.45205479453</v>
      </c>
      <c r="AC1274" s="4">
        <f t="shared" si="391"/>
        <v>1701225</v>
      </c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U1274" s="2"/>
      <c r="AV1274" s="2"/>
      <c r="AW1274" s="2"/>
      <c r="AX1274" s="2"/>
      <c r="AY1274" s="2"/>
      <c r="AZ1274" s="2"/>
      <c r="BA1274" s="2"/>
      <c r="BB1274" s="2"/>
      <c r="BC1274" s="2"/>
      <c r="BD1274" s="2"/>
      <c r="BE1274" s="2"/>
      <c r="BF1274" s="2"/>
      <c r="BG1274" s="2"/>
      <c r="BH1274" s="2"/>
      <c r="BI1274" s="2"/>
    </row>
    <row r="1275" spans="1:61" s="145" customFormat="1" ht="27.6" customHeight="1" x14ac:dyDescent="0.2">
      <c r="A1275" s="164">
        <v>1259</v>
      </c>
      <c r="B1275" s="139" t="s">
        <v>31</v>
      </c>
      <c r="C1275" s="9" t="s">
        <v>642</v>
      </c>
      <c r="D1275" s="71">
        <v>24970000</v>
      </c>
      <c r="E1275" s="146"/>
      <c r="F1275" s="146"/>
      <c r="G1275" s="146"/>
      <c r="H1275" s="54">
        <v>7.5</v>
      </c>
      <c r="I1275" s="146"/>
      <c r="J1275" s="146"/>
      <c r="K1275" s="146"/>
      <c r="L1275" s="146"/>
      <c r="M1275" s="141">
        <v>0</v>
      </c>
      <c r="N1275" s="141">
        <v>0</v>
      </c>
      <c r="O1275" s="141"/>
      <c r="P1275" s="141"/>
      <c r="Q1275" s="141"/>
      <c r="R1275" s="141"/>
      <c r="S1275" s="141">
        <f t="shared" si="387"/>
        <v>24970000</v>
      </c>
      <c r="T1275" s="141">
        <v>0</v>
      </c>
      <c r="U1275" s="141">
        <v>0</v>
      </c>
      <c r="V1275" s="141"/>
      <c r="W1275" s="141"/>
      <c r="X1275" s="141"/>
      <c r="Y1275" s="141"/>
      <c r="Z1275" s="141">
        <v>0</v>
      </c>
      <c r="AA1275" s="34">
        <v>0</v>
      </c>
      <c r="AB1275" s="8">
        <f t="shared" ref="AB1275:AB1277" si="400">(S1275*7.5%)/365*78</f>
        <v>400204.10958904109</v>
      </c>
      <c r="AC1275" s="4">
        <f t="shared" si="391"/>
        <v>1872750</v>
      </c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U1275" s="2"/>
      <c r="AV1275" s="2"/>
      <c r="AW1275" s="2"/>
      <c r="AX1275" s="2"/>
      <c r="AY1275" s="2"/>
      <c r="AZ1275" s="2"/>
      <c r="BA1275" s="2"/>
      <c r="BB1275" s="2"/>
      <c r="BC1275" s="2"/>
      <c r="BD1275" s="2"/>
      <c r="BE1275" s="2"/>
      <c r="BF1275" s="2"/>
      <c r="BG1275" s="2"/>
      <c r="BH1275" s="2"/>
      <c r="BI1275" s="2"/>
    </row>
    <row r="1276" spans="1:61" s="145" customFormat="1" ht="27.6" customHeight="1" x14ac:dyDescent="0.2">
      <c r="A1276" s="164">
        <v>1260</v>
      </c>
      <c r="B1276" s="139" t="s">
        <v>31</v>
      </c>
      <c r="C1276" s="9" t="s">
        <v>642</v>
      </c>
      <c r="D1276" s="71">
        <v>2808000</v>
      </c>
      <c r="E1276" s="146"/>
      <c r="F1276" s="146"/>
      <c r="G1276" s="146"/>
      <c r="H1276" s="54">
        <v>7.5</v>
      </c>
      <c r="I1276" s="146"/>
      <c r="J1276" s="146"/>
      <c r="K1276" s="146"/>
      <c r="L1276" s="146"/>
      <c r="M1276" s="141">
        <v>0</v>
      </c>
      <c r="N1276" s="141">
        <v>0</v>
      </c>
      <c r="O1276" s="141"/>
      <c r="P1276" s="141"/>
      <c r="Q1276" s="141"/>
      <c r="R1276" s="141"/>
      <c r="S1276" s="141">
        <f t="shared" si="387"/>
        <v>2808000</v>
      </c>
      <c r="T1276" s="141">
        <v>0</v>
      </c>
      <c r="U1276" s="141">
        <v>0</v>
      </c>
      <c r="V1276" s="141"/>
      <c r="W1276" s="141"/>
      <c r="X1276" s="141"/>
      <c r="Y1276" s="141"/>
      <c r="Z1276" s="141">
        <v>0</v>
      </c>
      <c r="AA1276" s="34">
        <v>0</v>
      </c>
      <c r="AB1276" s="8">
        <f t="shared" si="400"/>
        <v>45004.931506849316</v>
      </c>
      <c r="AC1276" s="4">
        <f t="shared" si="391"/>
        <v>210600</v>
      </c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  <c r="AV1276" s="2"/>
      <c r="AW1276" s="2"/>
      <c r="AX1276" s="2"/>
      <c r="AY1276" s="2"/>
      <c r="AZ1276" s="2"/>
      <c r="BA1276" s="2"/>
      <c r="BB1276" s="2"/>
      <c r="BC1276" s="2"/>
      <c r="BD1276" s="2"/>
      <c r="BE1276" s="2"/>
      <c r="BF1276" s="2"/>
      <c r="BG1276" s="2"/>
      <c r="BH1276" s="2"/>
      <c r="BI1276" s="2"/>
    </row>
    <row r="1277" spans="1:61" s="145" customFormat="1" ht="27.6" customHeight="1" x14ac:dyDescent="0.2">
      <c r="A1277" s="164">
        <v>1261</v>
      </c>
      <c r="B1277" s="139" t="s">
        <v>31</v>
      </c>
      <c r="C1277" s="9" t="s">
        <v>642</v>
      </c>
      <c r="D1277" s="71">
        <v>46996000</v>
      </c>
      <c r="E1277" s="146"/>
      <c r="F1277" s="146"/>
      <c r="G1277" s="146"/>
      <c r="H1277" s="54">
        <v>7.5</v>
      </c>
      <c r="I1277" s="146"/>
      <c r="J1277" s="146"/>
      <c r="K1277" s="146"/>
      <c r="L1277" s="146"/>
      <c r="M1277" s="141">
        <v>0</v>
      </c>
      <c r="N1277" s="141">
        <v>0</v>
      </c>
      <c r="O1277" s="141"/>
      <c r="P1277" s="141"/>
      <c r="Q1277" s="141"/>
      <c r="R1277" s="141"/>
      <c r="S1277" s="141">
        <f t="shared" si="387"/>
        <v>46996000</v>
      </c>
      <c r="T1277" s="141">
        <v>0</v>
      </c>
      <c r="U1277" s="141">
        <v>0</v>
      </c>
      <c r="V1277" s="141"/>
      <c r="W1277" s="141"/>
      <c r="X1277" s="141"/>
      <c r="Y1277" s="141"/>
      <c r="Z1277" s="141">
        <v>0</v>
      </c>
      <c r="AA1277" s="34">
        <v>0</v>
      </c>
      <c r="AB1277" s="8">
        <f t="shared" si="400"/>
        <v>753223.56164383562</v>
      </c>
      <c r="AC1277" s="4">
        <f t="shared" si="391"/>
        <v>3524700</v>
      </c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Q1277" s="2"/>
      <c r="AR1277" s="2"/>
      <c r="AS1277" s="2"/>
      <c r="AT1277" s="2"/>
      <c r="AU1277" s="2"/>
      <c r="AV1277" s="2"/>
      <c r="AW1277" s="2"/>
      <c r="AX1277" s="2"/>
      <c r="AY1277" s="2"/>
      <c r="AZ1277" s="2"/>
      <c r="BA1277" s="2"/>
      <c r="BB1277" s="2"/>
      <c r="BC1277" s="2"/>
      <c r="BD1277" s="2"/>
      <c r="BE1277" s="2"/>
      <c r="BF1277" s="2"/>
      <c r="BG1277" s="2"/>
      <c r="BH1277" s="2"/>
      <c r="BI1277" s="2"/>
    </row>
    <row r="1278" spans="1:61" s="145" customFormat="1" ht="27.6" customHeight="1" x14ac:dyDescent="0.2">
      <c r="A1278" s="164">
        <v>1262</v>
      </c>
      <c r="B1278" s="139" t="s">
        <v>792</v>
      </c>
      <c r="C1278" s="9" t="s">
        <v>642</v>
      </c>
      <c r="D1278" s="71">
        <v>20734000</v>
      </c>
      <c r="E1278" s="146"/>
      <c r="F1278" s="146"/>
      <c r="G1278" s="146"/>
      <c r="H1278" s="54">
        <v>7.25</v>
      </c>
      <c r="I1278" s="146"/>
      <c r="J1278" s="146"/>
      <c r="K1278" s="146"/>
      <c r="L1278" s="146"/>
      <c r="M1278" s="141">
        <v>0</v>
      </c>
      <c r="N1278" s="141">
        <v>0</v>
      </c>
      <c r="O1278" s="141"/>
      <c r="P1278" s="141"/>
      <c r="Q1278" s="141"/>
      <c r="R1278" s="141"/>
      <c r="S1278" s="141">
        <f t="shared" si="387"/>
        <v>20734000</v>
      </c>
      <c r="T1278" s="141">
        <v>0</v>
      </c>
      <c r="U1278" s="141">
        <v>0</v>
      </c>
      <c r="V1278" s="141"/>
      <c r="W1278" s="141"/>
      <c r="X1278" s="141"/>
      <c r="Y1278" s="141"/>
      <c r="Z1278" s="141">
        <v>0</v>
      </c>
      <c r="AA1278" s="34">
        <v>0</v>
      </c>
      <c r="AB1278" s="8">
        <f>(S1278*7.25%)/365*76</f>
        <v>312998.19178082189</v>
      </c>
      <c r="AC1278" s="4">
        <f t="shared" si="391"/>
        <v>1503215</v>
      </c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  <c r="AT1278" s="2"/>
      <c r="AU1278" s="2"/>
      <c r="AV1278" s="2"/>
      <c r="AW1278" s="2"/>
      <c r="AX1278" s="2"/>
      <c r="AY1278" s="2"/>
      <c r="AZ1278" s="2"/>
      <c r="BA1278" s="2"/>
      <c r="BB1278" s="2"/>
      <c r="BC1278" s="2"/>
      <c r="BD1278" s="2"/>
      <c r="BE1278" s="2"/>
      <c r="BF1278" s="2"/>
      <c r="BG1278" s="2"/>
      <c r="BH1278" s="2"/>
      <c r="BI1278" s="2"/>
    </row>
    <row r="1279" spans="1:61" s="145" customFormat="1" ht="27.6" customHeight="1" x14ac:dyDescent="0.2">
      <c r="A1279" s="164">
        <v>1263</v>
      </c>
      <c r="B1279" s="139" t="s">
        <v>792</v>
      </c>
      <c r="C1279" s="9" t="s">
        <v>642</v>
      </c>
      <c r="D1279" s="71">
        <v>8000000</v>
      </c>
      <c r="E1279" s="146"/>
      <c r="F1279" s="146"/>
      <c r="G1279" s="146"/>
      <c r="H1279" s="54">
        <v>7.25</v>
      </c>
      <c r="I1279" s="146"/>
      <c r="J1279" s="146"/>
      <c r="K1279" s="146"/>
      <c r="L1279" s="146"/>
      <c r="M1279" s="141">
        <v>0</v>
      </c>
      <c r="N1279" s="141">
        <v>0</v>
      </c>
      <c r="O1279" s="141"/>
      <c r="P1279" s="141"/>
      <c r="Q1279" s="141"/>
      <c r="R1279" s="141"/>
      <c r="S1279" s="141">
        <f t="shared" si="387"/>
        <v>8000000</v>
      </c>
      <c r="T1279" s="141">
        <v>0</v>
      </c>
      <c r="U1279" s="141">
        <v>0</v>
      </c>
      <c r="V1279" s="141"/>
      <c r="W1279" s="141"/>
      <c r="X1279" s="141"/>
      <c r="Y1279" s="141"/>
      <c r="Z1279" s="141">
        <v>0</v>
      </c>
      <c r="AA1279" s="34">
        <v>0</v>
      </c>
      <c r="AB1279" s="8">
        <f>(S1279*7.25%)/365*76</f>
        <v>120767.12328767125</v>
      </c>
      <c r="AC1279" s="4">
        <f t="shared" si="391"/>
        <v>580000</v>
      </c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U1279" s="2"/>
      <c r="AV1279" s="2"/>
      <c r="AW1279" s="2"/>
      <c r="AX1279" s="2"/>
      <c r="AY1279" s="2"/>
      <c r="AZ1279" s="2"/>
      <c r="BA1279" s="2"/>
      <c r="BB1279" s="2"/>
      <c r="BC1279" s="2"/>
      <c r="BD1279" s="2"/>
      <c r="BE1279" s="2"/>
      <c r="BF1279" s="2"/>
      <c r="BG1279" s="2"/>
      <c r="BH1279" s="2"/>
      <c r="BI1279" s="2"/>
    </row>
    <row r="1280" spans="1:61" s="145" customFormat="1" ht="27.6" customHeight="1" x14ac:dyDescent="0.2">
      <c r="A1280" s="164">
        <v>1264</v>
      </c>
      <c r="B1280" s="139" t="s">
        <v>795</v>
      </c>
      <c r="C1280" s="9" t="s">
        <v>642</v>
      </c>
      <c r="D1280" s="71">
        <v>48497000</v>
      </c>
      <c r="E1280" s="146"/>
      <c r="F1280" s="146"/>
      <c r="G1280" s="146"/>
      <c r="H1280" s="54">
        <v>7.25</v>
      </c>
      <c r="I1280" s="146"/>
      <c r="J1280" s="146"/>
      <c r="K1280" s="146"/>
      <c r="L1280" s="146"/>
      <c r="M1280" s="141">
        <v>0</v>
      </c>
      <c r="N1280" s="141">
        <v>0</v>
      </c>
      <c r="O1280" s="141"/>
      <c r="P1280" s="141"/>
      <c r="Q1280" s="141"/>
      <c r="R1280" s="141"/>
      <c r="S1280" s="141">
        <f t="shared" si="387"/>
        <v>48497000</v>
      </c>
      <c r="T1280" s="141">
        <v>0</v>
      </c>
      <c r="U1280" s="141">
        <v>0</v>
      </c>
      <c r="V1280" s="141"/>
      <c r="W1280" s="141"/>
      <c r="X1280" s="141"/>
      <c r="Y1280" s="141"/>
      <c r="Z1280" s="141">
        <v>0</v>
      </c>
      <c r="AA1280" s="34">
        <v>0</v>
      </c>
      <c r="AB1280" s="8">
        <f>(S1280*7.25%)/365*55</f>
        <v>529813.11643835611</v>
      </c>
      <c r="AC1280" s="4">
        <f t="shared" si="391"/>
        <v>3516032.4999999995</v>
      </c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U1280" s="2"/>
      <c r="AV1280" s="2"/>
      <c r="AW1280" s="2"/>
      <c r="AX1280" s="2"/>
      <c r="AY1280" s="2"/>
      <c r="AZ1280" s="2"/>
      <c r="BA1280" s="2"/>
      <c r="BB1280" s="2"/>
      <c r="BC1280" s="2"/>
      <c r="BD1280" s="2"/>
      <c r="BE1280" s="2"/>
      <c r="BF1280" s="2"/>
      <c r="BG1280" s="2"/>
      <c r="BH1280" s="2"/>
      <c r="BI1280" s="2"/>
    </row>
    <row r="1281" spans="1:61" s="145" customFormat="1" ht="27.6" customHeight="1" x14ac:dyDescent="0.2">
      <c r="A1281" s="164">
        <v>1265</v>
      </c>
      <c r="B1281" s="139" t="s">
        <v>795</v>
      </c>
      <c r="C1281" s="9" t="s">
        <v>642</v>
      </c>
      <c r="D1281" s="71">
        <v>51180000</v>
      </c>
      <c r="E1281" s="146"/>
      <c r="F1281" s="146"/>
      <c r="G1281" s="146"/>
      <c r="H1281" s="54">
        <v>7.25</v>
      </c>
      <c r="I1281" s="146"/>
      <c r="J1281" s="146"/>
      <c r="K1281" s="146"/>
      <c r="L1281" s="146"/>
      <c r="M1281" s="141">
        <v>0</v>
      </c>
      <c r="N1281" s="141">
        <v>0</v>
      </c>
      <c r="O1281" s="141"/>
      <c r="P1281" s="141"/>
      <c r="Q1281" s="141"/>
      <c r="R1281" s="141"/>
      <c r="S1281" s="141">
        <f t="shared" si="387"/>
        <v>51180000</v>
      </c>
      <c r="T1281" s="141">
        <v>0</v>
      </c>
      <c r="U1281" s="141">
        <v>0</v>
      </c>
      <c r="V1281" s="141"/>
      <c r="W1281" s="141"/>
      <c r="X1281" s="141"/>
      <c r="Y1281" s="141"/>
      <c r="Z1281" s="141">
        <v>0</v>
      </c>
      <c r="AA1281" s="34">
        <v>0</v>
      </c>
      <c r="AB1281" s="8">
        <f>(S1281*7.25%)/365*55</f>
        <v>559123.97260273958</v>
      </c>
      <c r="AC1281" s="4">
        <f t="shared" si="391"/>
        <v>3710549.9999999995</v>
      </c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U1281" s="2"/>
      <c r="AV1281" s="2"/>
      <c r="AW1281" s="2"/>
      <c r="AX1281" s="2"/>
      <c r="AY1281" s="2"/>
      <c r="AZ1281" s="2"/>
      <c r="BA1281" s="2"/>
      <c r="BB1281" s="2"/>
      <c r="BC1281" s="2"/>
      <c r="BD1281" s="2"/>
      <c r="BE1281" s="2"/>
      <c r="BF1281" s="2"/>
      <c r="BG1281" s="2"/>
      <c r="BH1281" s="2"/>
      <c r="BI1281" s="2"/>
    </row>
    <row r="1282" spans="1:61" s="145" customFormat="1" ht="27.6" customHeight="1" x14ac:dyDescent="0.2">
      <c r="A1282" s="114"/>
      <c r="B1282" s="110"/>
      <c r="C1282" s="105" t="s">
        <v>123</v>
      </c>
      <c r="D1282" s="109">
        <f>SUM(D1169:D1281)</f>
        <v>8926758000</v>
      </c>
      <c r="E1282" s="109">
        <f>SUM(E1021:E1027)</f>
        <v>0</v>
      </c>
      <c r="F1282" s="109">
        <f>SUM(F1021:F1027)</f>
        <v>0</v>
      </c>
      <c r="G1282" s="109">
        <f>SUM(G1021:G1027)</f>
        <v>0</v>
      </c>
      <c r="H1282" s="109"/>
      <c r="I1282" s="109">
        <f>SUM(I1021:I1027)</f>
        <v>0</v>
      </c>
      <c r="J1282" s="109">
        <f>SUM(J1021:J1027)</f>
        <v>0</v>
      </c>
      <c r="K1282" s="109">
        <f>SUM(K1021:K1027)</f>
        <v>0</v>
      </c>
      <c r="L1282" s="109">
        <f>SUM(L1021:L1027)</f>
        <v>0</v>
      </c>
      <c r="M1282" s="109">
        <f t="shared" ref="M1282:AC1282" si="401">SUM(M1169:M1281)</f>
        <v>0</v>
      </c>
      <c r="N1282" s="109">
        <f t="shared" si="401"/>
        <v>6343545000</v>
      </c>
      <c r="O1282" s="109">
        <f t="shared" si="401"/>
        <v>0</v>
      </c>
      <c r="P1282" s="109">
        <f t="shared" si="401"/>
        <v>0</v>
      </c>
      <c r="Q1282" s="109">
        <f t="shared" si="401"/>
        <v>0</v>
      </c>
      <c r="R1282" s="109">
        <f t="shared" si="401"/>
        <v>0</v>
      </c>
      <c r="S1282" s="109">
        <f t="shared" si="401"/>
        <v>8926758000</v>
      </c>
      <c r="T1282" s="109">
        <f t="shared" si="401"/>
        <v>0</v>
      </c>
      <c r="U1282" s="109">
        <f t="shared" si="401"/>
        <v>0</v>
      </c>
      <c r="V1282" s="109">
        <f t="shared" si="401"/>
        <v>0</v>
      </c>
      <c r="W1282" s="109">
        <f t="shared" si="401"/>
        <v>0</v>
      </c>
      <c r="X1282" s="109">
        <f t="shared" si="401"/>
        <v>0</v>
      </c>
      <c r="Y1282" s="109">
        <f t="shared" si="401"/>
        <v>0</v>
      </c>
      <c r="Z1282" s="109">
        <f t="shared" si="401"/>
        <v>0</v>
      </c>
      <c r="AA1282" s="109">
        <f t="shared" si="401"/>
        <v>105042940.36301371</v>
      </c>
      <c r="AB1282" s="109">
        <f t="shared" si="401"/>
        <v>594372573.60273969</v>
      </c>
      <c r="AC1282" s="109">
        <f t="shared" si="401"/>
        <v>675972610</v>
      </c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  <c r="AT1282" s="2"/>
      <c r="AU1282" s="2"/>
      <c r="AV1282" s="2"/>
      <c r="AW1282" s="2"/>
      <c r="AX1282" s="2"/>
      <c r="AY1282" s="2"/>
      <c r="AZ1282" s="2"/>
      <c r="BA1282" s="2"/>
      <c r="BB1282" s="2"/>
      <c r="BC1282" s="2"/>
      <c r="BD1282" s="2"/>
      <c r="BE1282" s="2"/>
      <c r="BF1282" s="2"/>
      <c r="BG1282" s="2"/>
      <c r="BH1282" s="2"/>
      <c r="BI1282" s="2"/>
    </row>
    <row r="1283" spans="1:61" s="145" customFormat="1" ht="27.6" customHeight="1" x14ac:dyDescent="0.2">
      <c r="A1283" s="164">
        <v>1266</v>
      </c>
      <c r="B1283" s="58" t="s">
        <v>782</v>
      </c>
      <c r="C1283" s="9" t="s">
        <v>783</v>
      </c>
      <c r="D1283" s="71">
        <v>63539000</v>
      </c>
      <c r="E1283" s="9"/>
      <c r="F1283" s="9"/>
      <c r="G1283" s="62"/>
      <c r="H1283" s="54">
        <v>7.5</v>
      </c>
      <c r="I1283" s="34"/>
      <c r="J1283" s="34"/>
      <c r="K1283" s="34"/>
      <c r="L1283" s="34"/>
      <c r="M1283" s="34">
        <v>0</v>
      </c>
      <c r="N1283" s="34">
        <v>0</v>
      </c>
      <c r="O1283" s="34"/>
      <c r="P1283" s="34"/>
      <c r="Q1283" s="34"/>
      <c r="R1283" s="34"/>
      <c r="S1283" s="34">
        <f>D1283</f>
        <v>63539000</v>
      </c>
      <c r="T1283" s="34">
        <v>0</v>
      </c>
      <c r="U1283" s="34">
        <v>0</v>
      </c>
      <c r="V1283" s="34"/>
      <c r="W1283" s="34"/>
      <c r="X1283" s="34"/>
      <c r="Y1283" s="34"/>
      <c r="Z1283" s="34">
        <v>0</v>
      </c>
      <c r="AA1283" s="34">
        <v>0</v>
      </c>
      <c r="AB1283" s="8">
        <f>(S1283*7.5%)/365*119</f>
        <v>1553659.1095890412</v>
      </c>
      <c r="AC1283" s="4">
        <f t="shared" ref="AC1283:AC1289" si="402">S1283*H1283%</f>
        <v>4765425</v>
      </c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  <c r="AT1283" s="2"/>
      <c r="AU1283" s="2"/>
      <c r="AV1283" s="2"/>
      <c r="AW1283" s="2"/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</row>
    <row r="1284" spans="1:61" s="145" customFormat="1" ht="27.6" customHeight="1" x14ac:dyDescent="0.2">
      <c r="A1284" s="164">
        <v>1267</v>
      </c>
      <c r="B1284" s="58" t="s">
        <v>28</v>
      </c>
      <c r="C1284" s="9" t="s">
        <v>783</v>
      </c>
      <c r="D1284" s="71">
        <v>82004000</v>
      </c>
      <c r="E1284" s="9"/>
      <c r="F1284" s="9"/>
      <c r="G1284" s="62"/>
      <c r="H1284" s="54">
        <v>7.5</v>
      </c>
      <c r="I1284" s="34"/>
      <c r="J1284" s="34"/>
      <c r="K1284" s="34"/>
      <c r="L1284" s="34"/>
      <c r="M1284" s="34">
        <v>0</v>
      </c>
      <c r="N1284" s="34">
        <v>0</v>
      </c>
      <c r="O1284" s="34"/>
      <c r="P1284" s="34"/>
      <c r="Q1284" s="34"/>
      <c r="R1284" s="34"/>
      <c r="S1284" s="34">
        <f t="shared" ref="S1284:S1289" si="403">D1284</f>
        <v>82004000</v>
      </c>
      <c r="T1284" s="34">
        <v>0</v>
      </c>
      <c r="U1284" s="34">
        <v>0</v>
      </c>
      <c r="V1284" s="34"/>
      <c r="W1284" s="34"/>
      <c r="X1284" s="34"/>
      <c r="Y1284" s="34"/>
      <c r="Z1284" s="34">
        <v>0</v>
      </c>
      <c r="AA1284" s="34">
        <v>0</v>
      </c>
      <c r="AB1284" s="8">
        <f>(S1284*7.5%)/365*112</f>
        <v>1887215.3424657537</v>
      </c>
      <c r="AC1284" s="4">
        <f t="shared" si="402"/>
        <v>6150300</v>
      </c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</row>
    <row r="1285" spans="1:61" s="145" customFormat="1" ht="27.6" customHeight="1" x14ac:dyDescent="0.2">
      <c r="A1285" s="164">
        <v>1268</v>
      </c>
      <c r="B1285" s="58" t="s">
        <v>28</v>
      </c>
      <c r="C1285" s="9" t="s">
        <v>783</v>
      </c>
      <c r="D1285" s="71">
        <v>814367000</v>
      </c>
      <c r="E1285" s="9"/>
      <c r="F1285" s="9"/>
      <c r="G1285" s="62"/>
      <c r="H1285" s="54">
        <v>7.5</v>
      </c>
      <c r="I1285" s="34"/>
      <c r="J1285" s="34"/>
      <c r="K1285" s="34"/>
      <c r="L1285" s="34"/>
      <c r="M1285" s="34">
        <v>0</v>
      </c>
      <c r="N1285" s="34">
        <v>0</v>
      </c>
      <c r="O1285" s="34"/>
      <c r="P1285" s="34"/>
      <c r="Q1285" s="34"/>
      <c r="R1285" s="34"/>
      <c r="S1285" s="34">
        <f t="shared" si="403"/>
        <v>814367000</v>
      </c>
      <c r="T1285" s="34">
        <v>0</v>
      </c>
      <c r="U1285" s="34">
        <v>0</v>
      </c>
      <c r="V1285" s="34"/>
      <c r="W1285" s="34"/>
      <c r="X1285" s="34"/>
      <c r="Y1285" s="34"/>
      <c r="Z1285" s="34">
        <v>0</v>
      </c>
      <c r="AA1285" s="34">
        <v>0</v>
      </c>
      <c r="AB1285" s="8">
        <f t="shared" ref="AB1285:AB1286" si="404">(S1285*7.5%)/365*112</f>
        <v>18741596.712328766</v>
      </c>
      <c r="AC1285" s="4">
        <f t="shared" si="402"/>
        <v>61077525</v>
      </c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</row>
    <row r="1286" spans="1:61" s="145" customFormat="1" ht="27.6" customHeight="1" x14ac:dyDescent="0.2">
      <c r="A1286" s="164">
        <v>1269</v>
      </c>
      <c r="B1286" s="58" t="s">
        <v>28</v>
      </c>
      <c r="C1286" s="9" t="s">
        <v>783</v>
      </c>
      <c r="D1286" s="71">
        <v>119393000</v>
      </c>
      <c r="E1286" s="9"/>
      <c r="F1286" s="9"/>
      <c r="G1286" s="62"/>
      <c r="H1286" s="54">
        <v>7.5</v>
      </c>
      <c r="I1286" s="34"/>
      <c r="J1286" s="34"/>
      <c r="K1286" s="34"/>
      <c r="L1286" s="34"/>
      <c r="M1286" s="34">
        <v>0</v>
      </c>
      <c r="N1286" s="34">
        <v>0</v>
      </c>
      <c r="O1286" s="34"/>
      <c r="P1286" s="34"/>
      <c r="Q1286" s="34"/>
      <c r="R1286" s="34"/>
      <c r="S1286" s="34">
        <f t="shared" si="403"/>
        <v>119393000</v>
      </c>
      <c r="T1286" s="34">
        <v>0</v>
      </c>
      <c r="U1286" s="34">
        <v>0</v>
      </c>
      <c r="V1286" s="34"/>
      <c r="W1286" s="34"/>
      <c r="X1286" s="34"/>
      <c r="Y1286" s="34"/>
      <c r="Z1286" s="34">
        <v>0</v>
      </c>
      <c r="AA1286" s="34">
        <v>0</v>
      </c>
      <c r="AB1286" s="8">
        <f t="shared" si="404"/>
        <v>2747674.5205479451</v>
      </c>
      <c r="AC1286" s="4">
        <f t="shared" si="402"/>
        <v>8954475</v>
      </c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</row>
    <row r="1287" spans="1:61" s="145" customFormat="1" ht="27.6" customHeight="1" x14ac:dyDescent="0.2">
      <c r="A1287" s="164">
        <v>1270</v>
      </c>
      <c r="B1287" s="58" t="s">
        <v>787</v>
      </c>
      <c r="C1287" s="9" t="s">
        <v>783</v>
      </c>
      <c r="D1287" s="71">
        <v>109272000</v>
      </c>
      <c r="E1287" s="9"/>
      <c r="F1287" s="9"/>
      <c r="G1287" s="62"/>
      <c r="H1287" s="54">
        <v>7.5</v>
      </c>
      <c r="I1287" s="34"/>
      <c r="J1287" s="34"/>
      <c r="K1287" s="34"/>
      <c r="L1287" s="34"/>
      <c r="M1287" s="34">
        <v>0</v>
      </c>
      <c r="N1287" s="34">
        <v>0</v>
      </c>
      <c r="O1287" s="34"/>
      <c r="P1287" s="34"/>
      <c r="Q1287" s="34"/>
      <c r="R1287" s="34"/>
      <c r="S1287" s="34">
        <f t="shared" si="403"/>
        <v>109272000</v>
      </c>
      <c r="T1287" s="34">
        <v>0</v>
      </c>
      <c r="U1287" s="34">
        <v>0</v>
      </c>
      <c r="V1287" s="34"/>
      <c r="W1287" s="34"/>
      <c r="X1287" s="34"/>
      <c r="Y1287" s="34"/>
      <c r="Z1287" s="34">
        <v>0</v>
      </c>
      <c r="AA1287" s="34">
        <v>0</v>
      </c>
      <c r="AB1287" s="8">
        <f>(S1287*7.5%)/365*91</f>
        <v>2043236.7123287672</v>
      </c>
      <c r="AC1287" s="4">
        <f t="shared" si="402"/>
        <v>8195400</v>
      </c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  <c r="AV1287" s="2"/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</row>
    <row r="1288" spans="1:61" s="145" customFormat="1" ht="27.6" customHeight="1" x14ac:dyDescent="0.2">
      <c r="A1288" s="164">
        <v>1271</v>
      </c>
      <c r="B1288" s="58" t="s">
        <v>788</v>
      </c>
      <c r="C1288" s="9" t="s">
        <v>783</v>
      </c>
      <c r="D1288" s="71">
        <v>51524000</v>
      </c>
      <c r="E1288" s="9"/>
      <c r="F1288" s="9"/>
      <c r="G1288" s="62"/>
      <c r="H1288" s="54">
        <v>7.5</v>
      </c>
      <c r="I1288" s="34"/>
      <c r="J1288" s="34"/>
      <c r="K1288" s="34"/>
      <c r="L1288" s="34"/>
      <c r="M1288" s="34">
        <v>0</v>
      </c>
      <c r="N1288" s="34">
        <v>0</v>
      </c>
      <c r="O1288" s="34"/>
      <c r="P1288" s="34"/>
      <c r="Q1288" s="34"/>
      <c r="R1288" s="34"/>
      <c r="S1288" s="34">
        <f t="shared" si="403"/>
        <v>51524000</v>
      </c>
      <c r="T1288" s="34">
        <v>0</v>
      </c>
      <c r="U1288" s="34">
        <v>0</v>
      </c>
      <c r="V1288" s="34"/>
      <c r="W1288" s="34"/>
      <c r="X1288" s="34"/>
      <c r="Y1288" s="34"/>
      <c r="Z1288" s="34">
        <v>0</v>
      </c>
      <c r="AA1288" s="34">
        <v>0</v>
      </c>
      <c r="AB1288" s="8">
        <f>(S1288*7.5%)/365*86</f>
        <v>910492.60273972608</v>
      </c>
      <c r="AC1288" s="4">
        <f t="shared" si="402"/>
        <v>3864300</v>
      </c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U1288" s="2"/>
      <c r="AV1288" s="2"/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</row>
    <row r="1289" spans="1:61" s="145" customFormat="1" ht="27.6" customHeight="1" x14ac:dyDescent="0.2">
      <c r="A1289" s="164">
        <v>1272</v>
      </c>
      <c r="B1289" s="58" t="s">
        <v>788</v>
      </c>
      <c r="C1289" s="9" t="s">
        <v>783</v>
      </c>
      <c r="D1289" s="71">
        <v>56000000</v>
      </c>
      <c r="E1289" s="9"/>
      <c r="F1289" s="9"/>
      <c r="G1289" s="62"/>
      <c r="H1289" s="54">
        <v>7.5</v>
      </c>
      <c r="I1289" s="34"/>
      <c r="J1289" s="34"/>
      <c r="K1289" s="34"/>
      <c r="L1289" s="34"/>
      <c r="M1289" s="34">
        <v>0</v>
      </c>
      <c r="N1289" s="34">
        <v>0</v>
      </c>
      <c r="O1289" s="34"/>
      <c r="P1289" s="34"/>
      <c r="Q1289" s="34"/>
      <c r="R1289" s="34"/>
      <c r="S1289" s="34">
        <f t="shared" si="403"/>
        <v>56000000</v>
      </c>
      <c r="T1289" s="34">
        <v>0</v>
      </c>
      <c r="U1289" s="34">
        <v>0</v>
      </c>
      <c r="V1289" s="34"/>
      <c r="W1289" s="34"/>
      <c r="X1289" s="34"/>
      <c r="Y1289" s="34"/>
      <c r="Z1289" s="34">
        <v>0</v>
      </c>
      <c r="AA1289" s="34">
        <v>0</v>
      </c>
      <c r="AB1289" s="8">
        <f>(S1289*7.5%)/365*86</f>
        <v>989589.04109589045</v>
      </c>
      <c r="AC1289" s="4">
        <f t="shared" si="402"/>
        <v>4200000</v>
      </c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  <c r="AZ1289" s="2"/>
      <c r="BA1289" s="2"/>
      <c r="BB1289" s="2"/>
      <c r="BC1289" s="2"/>
      <c r="BD1289" s="2"/>
      <c r="BE1289" s="2"/>
      <c r="BF1289" s="2"/>
      <c r="BG1289" s="2"/>
      <c r="BH1289" s="2"/>
      <c r="BI1289" s="2"/>
    </row>
    <row r="1290" spans="1:61" s="145" customFormat="1" ht="27.6" customHeight="1" x14ac:dyDescent="0.2">
      <c r="A1290" s="114"/>
      <c r="B1290" s="110"/>
      <c r="C1290" s="105" t="s">
        <v>123</v>
      </c>
      <c r="D1290" s="109">
        <f>SUM(D1283:D1289)</f>
        <v>1296099000</v>
      </c>
      <c r="E1290" s="109">
        <f>SUM(E1051:E1057)</f>
        <v>0</v>
      </c>
      <c r="F1290" s="109">
        <f>SUM(F1051:F1057)</f>
        <v>0</v>
      </c>
      <c r="G1290" s="109">
        <f>SUM(G1051:G1057)</f>
        <v>0</v>
      </c>
      <c r="H1290" s="109"/>
      <c r="I1290" s="109">
        <f>SUM(I1051:I1057)</f>
        <v>0</v>
      </c>
      <c r="J1290" s="109">
        <f>SUM(J1051:J1057)</f>
        <v>0</v>
      </c>
      <c r="K1290" s="109">
        <f>SUM(K1051:K1057)</f>
        <v>0</v>
      </c>
      <c r="L1290" s="109">
        <f>SUM(L1051:L1057)</f>
        <v>0</v>
      </c>
      <c r="M1290" s="109">
        <f t="shared" ref="M1290:AC1290" si="405">SUM(M1283:M1289)</f>
        <v>0</v>
      </c>
      <c r="N1290" s="109">
        <f t="shared" si="405"/>
        <v>0</v>
      </c>
      <c r="O1290" s="109">
        <f t="shared" si="405"/>
        <v>0</v>
      </c>
      <c r="P1290" s="109">
        <f t="shared" si="405"/>
        <v>0</v>
      </c>
      <c r="Q1290" s="109">
        <f t="shared" si="405"/>
        <v>0</v>
      </c>
      <c r="R1290" s="109">
        <f t="shared" si="405"/>
        <v>0</v>
      </c>
      <c r="S1290" s="109">
        <f t="shared" si="405"/>
        <v>1296099000</v>
      </c>
      <c r="T1290" s="109">
        <f t="shared" si="405"/>
        <v>0</v>
      </c>
      <c r="U1290" s="109">
        <f t="shared" si="405"/>
        <v>0</v>
      </c>
      <c r="V1290" s="109">
        <f t="shared" si="405"/>
        <v>0</v>
      </c>
      <c r="W1290" s="109">
        <f t="shared" si="405"/>
        <v>0</v>
      </c>
      <c r="X1290" s="109">
        <f t="shared" si="405"/>
        <v>0</v>
      </c>
      <c r="Y1290" s="109">
        <f t="shared" si="405"/>
        <v>0</v>
      </c>
      <c r="Z1290" s="109">
        <f t="shared" si="405"/>
        <v>0</v>
      </c>
      <c r="AA1290" s="109">
        <f t="shared" si="405"/>
        <v>0</v>
      </c>
      <c r="AB1290" s="109">
        <f t="shared" si="405"/>
        <v>28873464.041095886</v>
      </c>
      <c r="AC1290" s="109">
        <f t="shared" si="405"/>
        <v>97207425</v>
      </c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</row>
    <row r="1291" spans="1:61" s="145" customFormat="1" ht="27.6" customHeight="1" x14ac:dyDescent="0.2">
      <c r="A1291" s="163">
        <v>1273</v>
      </c>
      <c r="B1291" s="58" t="s">
        <v>748</v>
      </c>
      <c r="C1291" s="9" t="s">
        <v>749</v>
      </c>
      <c r="D1291" s="71">
        <v>977660000</v>
      </c>
      <c r="E1291" s="9"/>
      <c r="F1291" s="9"/>
      <c r="G1291" s="62"/>
      <c r="H1291" s="54">
        <v>7.5</v>
      </c>
      <c r="I1291" s="34"/>
      <c r="J1291" s="34"/>
      <c r="K1291" s="34"/>
      <c r="L1291" s="34"/>
      <c r="M1291" s="34">
        <v>0</v>
      </c>
      <c r="N1291" s="34">
        <f t="shared" ref="N1291" si="406">D1291</f>
        <v>977660000</v>
      </c>
      <c r="O1291" s="34"/>
      <c r="P1291" s="34"/>
      <c r="Q1291" s="34"/>
      <c r="R1291" s="34"/>
      <c r="S1291" s="34">
        <f t="shared" ref="S1291" si="407">N1291</f>
        <v>977660000</v>
      </c>
      <c r="T1291" s="34">
        <v>0</v>
      </c>
      <c r="U1291" s="34">
        <v>0</v>
      </c>
      <c r="V1291" s="34"/>
      <c r="W1291" s="34"/>
      <c r="X1291" s="34"/>
      <c r="Y1291" s="34"/>
      <c r="Z1291" s="34">
        <v>0</v>
      </c>
      <c r="AA1291" s="34">
        <f>4419559</f>
        <v>4419559</v>
      </c>
      <c r="AB1291" s="8">
        <f>N1291*7.5/100</f>
        <v>73324500</v>
      </c>
      <c r="AC1291" s="4">
        <f>S1291*H1291%</f>
        <v>73324500</v>
      </c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</row>
    <row r="1292" spans="1:61" s="145" customFormat="1" ht="27.6" customHeight="1" x14ac:dyDescent="0.2">
      <c r="A1292" s="114"/>
      <c r="B1292" s="110"/>
      <c r="C1292" s="105" t="s">
        <v>123</v>
      </c>
      <c r="D1292" s="109">
        <f>SUM(D1291)</f>
        <v>977660000</v>
      </c>
      <c r="E1292" s="109">
        <f>SUM(E1053:E1059)</f>
        <v>0</v>
      </c>
      <c r="F1292" s="109">
        <f>SUM(F1053:F1059)</f>
        <v>0</v>
      </c>
      <c r="G1292" s="109">
        <f>SUM(G1053:G1059)</f>
        <v>0</v>
      </c>
      <c r="H1292" s="109"/>
      <c r="I1292" s="109">
        <f>SUM(I1053:I1059)</f>
        <v>0</v>
      </c>
      <c r="J1292" s="109">
        <f>SUM(J1053:J1059)</f>
        <v>0</v>
      </c>
      <c r="K1292" s="109">
        <f>SUM(K1053:K1059)</f>
        <v>0</v>
      </c>
      <c r="L1292" s="109">
        <f>SUM(L1053:L1059)</f>
        <v>0</v>
      </c>
      <c r="M1292" s="109">
        <f t="shared" ref="M1292:AC1292" si="408">SUM(M1291)</f>
        <v>0</v>
      </c>
      <c r="N1292" s="109">
        <f t="shared" si="408"/>
        <v>977660000</v>
      </c>
      <c r="O1292" s="109">
        <f t="shared" si="408"/>
        <v>0</v>
      </c>
      <c r="P1292" s="109">
        <f t="shared" si="408"/>
        <v>0</v>
      </c>
      <c r="Q1292" s="109">
        <f t="shared" si="408"/>
        <v>0</v>
      </c>
      <c r="R1292" s="109">
        <f t="shared" si="408"/>
        <v>0</v>
      </c>
      <c r="S1292" s="109">
        <f t="shared" si="408"/>
        <v>977660000</v>
      </c>
      <c r="T1292" s="109">
        <f t="shared" si="408"/>
        <v>0</v>
      </c>
      <c r="U1292" s="109">
        <f t="shared" si="408"/>
        <v>0</v>
      </c>
      <c r="V1292" s="109">
        <f t="shared" si="408"/>
        <v>0</v>
      </c>
      <c r="W1292" s="109">
        <f t="shared" si="408"/>
        <v>0</v>
      </c>
      <c r="X1292" s="109">
        <f t="shared" si="408"/>
        <v>0</v>
      </c>
      <c r="Y1292" s="109">
        <f t="shared" si="408"/>
        <v>0</v>
      </c>
      <c r="Z1292" s="109">
        <f t="shared" si="408"/>
        <v>0</v>
      </c>
      <c r="AA1292" s="109">
        <f t="shared" si="408"/>
        <v>4419559</v>
      </c>
      <c r="AB1292" s="109">
        <f t="shared" si="408"/>
        <v>73324500</v>
      </c>
      <c r="AC1292" s="109">
        <f t="shared" si="408"/>
        <v>73324500</v>
      </c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  <c r="AV1292" s="2"/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</row>
    <row r="1293" spans="1:61" s="37" customFormat="1" ht="27.6" customHeight="1" x14ac:dyDescent="0.2">
      <c r="A1293" s="38"/>
      <c r="B1293" s="58"/>
      <c r="C1293" s="48" t="s">
        <v>118</v>
      </c>
      <c r="D1293" s="94"/>
      <c r="E1293" s="9"/>
      <c r="F1293" s="9"/>
      <c r="G1293" s="62"/>
      <c r="H1293" s="54"/>
      <c r="I1293" s="94"/>
      <c r="J1293" s="94"/>
      <c r="K1293" s="94"/>
      <c r="L1293" s="94"/>
      <c r="M1293" s="8"/>
      <c r="N1293" s="8"/>
      <c r="O1293" s="94"/>
      <c r="P1293" s="94"/>
      <c r="Q1293" s="94"/>
      <c r="R1293" s="94"/>
      <c r="S1293" s="94"/>
      <c r="T1293" s="17"/>
      <c r="U1293" s="17"/>
      <c r="V1293" s="94"/>
      <c r="W1293" s="94"/>
      <c r="X1293" s="94"/>
      <c r="Y1293" s="94"/>
      <c r="Z1293" s="94"/>
      <c r="AA1293" s="17"/>
      <c r="AB1293" s="8"/>
      <c r="AC1293" s="17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  <c r="AV1293" s="2"/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</row>
    <row r="1294" spans="1:61" s="37" customFormat="1" ht="27.6" customHeight="1" x14ac:dyDescent="0.2">
      <c r="A1294" s="38"/>
      <c r="B1294" s="38"/>
      <c r="C1294" s="5" t="s">
        <v>597</v>
      </c>
      <c r="D1294" s="94">
        <v>13803641000</v>
      </c>
      <c r="E1294" s="3"/>
      <c r="F1294" s="3"/>
      <c r="G1294" s="60"/>
      <c r="H1294" s="28">
        <v>7.25</v>
      </c>
      <c r="I1294" s="55"/>
      <c r="J1294" s="18"/>
      <c r="K1294" s="18"/>
      <c r="L1294" s="17"/>
      <c r="M1294" s="8"/>
      <c r="N1294" s="8"/>
      <c r="O1294" s="55"/>
      <c r="P1294" s="55"/>
      <c r="Q1294" s="55"/>
      <c r="R1294" s="17"/>
      <c r="S1294" s="17"/>
      <c r="T1294" s="17"/>
      <c r="U1294" s="17"/>
      <c r="V1294" s="64"/>
      <c r="W1294" s="65"/>
      <c r="X1294" s="17"/>
      <c r="Y1294" s="17"/>
      <c r="Z1294" s="17"/>
      <c r="AA1294" s="60"/>
      <c r="AB1294" s="11">
        <v>292439440</v>
      </c>
      <c r="AC1294" s="17">
        <v>82250000</v>
      </c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/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</row>
    <row r="1295" spans="1:61" s="37" customFormat="1" ht="27.6" customHeight="1" x14ac:dyDescent="0.2">
      <c r="A1295" s="38"/>
      <c r="B1295" s="38"/>
      <c r="C1295" s="5" t="s">
        <v>689</v>
      </c>
      <c r="D1295" s="94">
        <v>21000000000</v>
      </c>
      <c r="E1295" s="3"/>
      <c r="F1295" s="3"/>
      <c r="G1295" s="60"/>
      <c r="H1295" s="28">
        <v>7.25</v>
      </c>
      <c r="I1295" s="55"/>
      <c r="J1295" s="18"/>
      <c r="K1295" s="18"/>
      <c r="L1295" s="17"/>
      <c r="M1295" s="8"/>
      <c r="N1295" s="8"/>
      <c r="O1295" s="55"/>
      <c r="P1295" s="55"/>
      <c r="Q1295" s="55"/>
      <c r="R1295" s="17"/>
      <c r="S1295" s="17"/>
      <c r="T1295" s="17"/>
      <c r="U1295" s="17"/>
      <c r="V1295" s="64"/>
      <c r="W1295" s="65"/>
      <c r="X1295" s="17"/>
      <c r="Y1295" s="17"/>
      <c r="Z1295" s="17"/>
      <c r="AA1295" s="60"/>
      <c r="AB1295" s="8"/>
      <c r="AC1295" s="17">
        <v>812000070</v>
      </c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  <c r="AZ1295" s="2"/>
      <c r="BA1295" s="2"/>
      <c r="BB1295" s="2"/>
      <c r="BC1295" s="2"/>
      <c r="BD1295" s="2"/>
      <c r="BE1295" s="2"/>
      <c r="BF1295" s="2"/>
      <c r="BG1295" s="2"/>
      <c r="BH1295" s="2"/>
      <c r="BI1295" s="2"/>
    </row>
    <row r="1296" spans="1:61" s="37" customFormat="1" ht="27.6" customHeight="1" x14ac:dyDescent="0.2">
      <c r="A1296" s="4"/>
      <c r="B1296" s="3"/>
      <c r="C1296" s="48" t="s">
        <v>122</v>
      </c>
      <c r="D1296" s="60">
        <f>D1295+D1294+D1292+D1282+D1290+D1168+D1017+D855+D636+D534+D364+D137+D89+D41+D32+D22+D9</f>
        <v>92036020000</v>
      </c>
      <c r="E1296" s="60" t="e">
        <f>E9+E22+E32+E41+E89+E137+E364+E534+#REF!+#REF!</f>
        <v>#REF!</v>
      </c>
      <c r="F1296" s="60" t="e">
        <f>F9+F22+F32+F41+F89+F137+F364+F534+#REF!+#REF!</f>
        <v>#REF!</v>
      </c>
      <c r="G1296" s="60" t="e">
        <f>G9+G22+G32+G41+G89+G137+G364+G534+#REF!+#REF!</f>
        <v>#REF!</v>
      </c>
      <c r="H1296" s="60"/>
      <c r="I1296" s="60" t="e">
        <f>I9+I22+I32+I41+I89+I137+I364+I534+#REF!+#REF!</f>
        <v>#REF!</v>
      </c>
      <c r="J1296" s="60" t="e">
        <f>J9+J22+J32+J41+J89+J137+J364+J534+#REF!</f>
        <v>#REF!</v>
      </c>
      <c r="K1296" s="60">
        <f>K9+K22+K32+K41+K89+K137+K364+K534+K636+K855+K1294+K1295</f>
        <v>13340701000</v>
      </c>
      <c r="L1296" s="60">
        <f>L9+L22+L32+L41+L89+L137+L364+L534+L636+L855+L1017+L1294+L1295</f>
        <v>19147796000</v>
      </c>
      <c r="M1296" s="60">
        <f t="shared" ref="M1296:AC1296" si="409">M1295+M1294+M1292+M1282+M1290+M1168+M1017+M855+M636+M534+M364+M137+M89+M41+M32+M22+M9</f>
        <v>30302588600</v>
      </c>
      <c r="N1296" s="60">
        <f t="shared" si="409"/>
        <v>40582363800</v>
      </c>
      <c r="O1296" s="60">
        <f t="shared" si="409"/>
        <v>0</v>
      </c>
      <c r="P1296" s="60">
        <f t="shared" si="409"/>
        <v>0</v>
      </c>
      <c r="Q1296" s="60">
        <f t="shared" si="409"/>
        <v>593920000</v>
      </c>
      <c r="R1296" s="60">
        <f t="shared" si="409"/>
        <v>1584255600</v>
      </c>
      <c r="S1296" s="60">
        <f t="shared" si="409"/>
        <v>43212668000</v>
      </c>
      <c r="T1296" s="60">
        <f t="shared" si="409"/>
        <v>3948342800</v>
      </c>
      <c r="U1296" s="60">
        <f t="shared" si="409"/>
        <v>5225054800</v>
      </c>
      <c r="V1296" s="60">
        <f t="shared" si="409"/>
        <v>43024963.333557896</v>
      </c>
      <c r="W1296" s="60">
        <f t="shared" si="409"/>
        <v>402002609.87237072</v>
      </c>
      <c r="X1296" s="60">
        <f t="shared" si="409"/>
        <v>967025751</v>
      </c>
      <c r="Y1296" s="60">
        <f t="shared" si="409"/>
        <v>1401927261</v>
      </c>
      <c r="Z1296" s="60">
        <f t="shared" si="409"/>
        <v>6435865400</v>
      </c>
      <c r="AA1296" s="60">
        <f t="shared" si="409"/>
        <v>1915147780.7534249</v>
      </c>
      <c r="AB1296" s="60">
        <f t="shared" si="409"/>
        <v>3442100000.0684929</v>
      </c>
      <c r="AC1296" s="60">
        <f t="shared" si="409"/>
        <v>4000000000</v>
      </c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</row>
    <row r="1298" spans="3:26" x14ac:dyDescent="0.2">
      <c r="C1298" s="37"/>
      <c r="D1298" s="37"/>
      <c r="E1298" s="37"/>
      <c r="F1298" s="37"/>
      <c r="G1298" s="37"/>
      <c r="H1298" s="37"/>
      <c r="I1298" s="37"/>
      <c r="J1298" s="37"/>
      <c r="K1298" s="37"/>
      <c r="L1298" s="37"/>
      <c r="M1298" s="155"/>
      <c r="N1298" s="37"/>
      <c r="O1298" s="37"/>
      <c r="P1298" s="37"/>
      <c r="Q1298" s="37"/>
      <c r="R1298" s="37"/>
      <c r="S1298" s="37"/>
      <c r="V1298" s="2"/>
      <c r="W1298" s="2"/>
      <c r="X1298" s="2"/>
      <c r="Y1298" s="2"/>
      <c r="Z1298" s="2"/>
    </row>
    <row r="1299" spans="3:26" x14ac:dyDescent="0.2">
      <c r="C1299" s="37"/>
      <c r="D1299" s="37"/>
      <c r="E1299" s="37"/>
      <c r="F1299" s="37"/>
      <c r="G1299" s="37"/>
      <c r="H1299" s="37"/>
      <c r="I1299" s="37"/>
      <c r="J1299" s="37"/>
      <c r="K1299" s="37"/>
      <c r="L1299" s="37"/>
      <c r="M1299" s="155"/>
      <c r="N1299" s="158"/>
      <c r="O1299" s="37"/>
      <c r="P1299" s="37"/>
      <c r="Q1299" s="37"/>
      <c r="R1299" s="37"/>
      <c r="S1299" s="156"/>
    </row>
    <row r="1300" spans="3:26" x14ac:dyDescent="0.2">
      <c r="C1300" s="37"/>
      <c r="D1300" s="37"/>
      <c r="E1300" s="37"/>
      <c r="F1300" s="37"/>
      <c r="G1300" s="37"/>
      <c r="H1300" s="37"/>
      <c r="I1300" s="37"/>
      <c r="J1300" s="37"/>
      <c r="K1300" s="37"/>
      <c r="L1300" s="37"/>
      <c r="M1300" s="155"/>
      <c r="N1300" s="37"/>
      <c r="O1300" s="37"/>
      <c r="P1300" s="37"/>
      <c r="Q1300" s="37"/>
      <c r="R1300" s="37"/>
      <c r="S1300" s="156"/>
    </row>
    <row r="1301" spans="3:26" x14ac:dyDescent="0.2">
      <c r="C1301" s="37"/>
      <c r="D1301" s="37"/>
      <c r="E1301" s="37"/>
      <c r="F1301" s="37"/>
      <c r="G1301" s="37"/>
      <c r="H1301" s="37"/>
      <c r="I1301" s="37"/>
      <c r="J1301" s="37"/>
      <c r="K1301" s="37"/>
      <c r="L1301" s="37"/>
      <c r="M1301" s="155"/>
      <c r="N1301" s="37"/>
      <c r="O1301" s="37"/>
      <c r="P1301" s="37"/>
      <c r="Q1301" s="37"/>
      <c r="R1301" s="37"/>
      <c r="S1301" s="156"/>
    </row>
    <row r="1302" spans="3:26" x14ac:dyDescent="0.2">
      <c r="C1302" s="37"/>
      <c r="D1302" s="37"/>
      <c r="E1302" s="37"/>
      <c r="F1302" s="37"/>
      <c r="G1302" s="37"/>
      <c r="H1302" s="37"/>
      <c r="I1302" s="37"/>
      <c r="J1302" s="37"/>
      <c r="K1302" s="37"/>
      <c r="L1302" s="37"/>
      <c r="M1302" s="155"/>
      <c r="N1302" s="37"/>
      <c r="O1302" s="37"/>
      <c r="P1302" s="37"/>
      <c r="Q1302" s="37"/>
      <c r="R1302" s="37"/>
      <c r="S1302" s="156"/>
    </row>
    <row r="1303" spans="3:26" x14ac:dyDescent="0.2">
      <c r="C1303" s="37"/>
      <c r="D1303" s="37"/>
      <c r="E1303" s="37"/>
      <c r="F1303" s="37"/>
      <c r="G1303" s="37"/>
      <c r="H1303" s="37"/>
      <c r="I1303" s="37"/>
      <c r="J1303" s="37"/>
      <c r="K1303" s="37"/>
      <c r="L1303" s="37"/>
      <c r="M1303" s="155"/>
      <c r="N1303" s="37"/>
      <c r="O1303" s="37"/>
      <c r="P1303" s="37"/>
      <c r="Q1303" s="37"/>
      <c r="R1303" s="37"/>
      <c r="S1303" s="156"/>
    </row>
    <row r="1304" spans="3:26" x14ac:dyDescent="0.2">
      <c r="C1304" s="37"/>
      <c r="D1304" s="37"/>
      <c r="E1304" s="37"/>
      <c r="F1304" s="37"/>
      <c r="G1304" s="37"/>
      <c r="H1304" s="37"/>
      <c r="I1304" s="37"/>
      <c r="J1304" s="37"/>
      <c r="K1304" s="37"/>
      <c r="L1304" s="37"/>
      <c r="M1304" s="155"/>
      <c r="N1304" s="37"/>
      <c r="O1304" s="37"/>
      <c r="P1304" s="37"/>
      <c r="Q1304" s="37"/>
      <c r="R1304" s="37"/>
      <c r="S1304" s="156"/>
    </row>
    <row r="1305" spans="3:26" x14ac:dyDescent="0.2">
      <c r="C1305" s="37"/>
      <c r="D1305" s="37"/>
      <c r="E1305" s="37"/>
      <c r="F1305" s="37"/>
      <c r="G1305" s="37"/>
      <c r="H1305" s="37"/>
      <c r="I1305" s="37"/>
      <c r="J1305" s="37"/>
      <c r="K1305" s="37"/>
      <c r="L1305" s="37"/>
      <c r="M1305" s="155"/>
      <c r="N1305" s="37"/>
      <c r="O1305" s="37"/>
      <c r="P1305" s="37"/>
      <c r="Q1305" s="37"/>
      <c r="R1305" s="37"/>
      <c r="S1305" s="156"/>
    </row>
    <row r="1306" spans="3:26" x14ac:dyDescent="0.2">
      <c r="C1306" s="37"/>
      <c r="D1306" s="37"/>
      <c r="E1306" s="37"/>
      <c r="F1306" s="37"/>
      <c r="G1306" s="37"/>
      <c r="H1306" s="37"/>
      <c r="I1306" s="37"/>
      <c r="J1306" s="37"/>
      <c r="K1306" s="37"/>
      <c r="L1306" s="37"/>
      <c r="M1306" s="37"/>
      <c r="N1306" s="37"/>
      <c r="O1306" s="37"/>
      <c r="P1306" s="37"/>
      <c r="Q1306" s="37"/>
      <c r="R1306" s="37"/>
      <c r="S1306" s="156"/>
    </row>
    <row r="1307" spans="3:26" x14ac:dyDescent="0.2">
      <c r="C1307" s="37"/>
      <c r="D1307" s="37"/>
      <c r="E1307" s="37"/>
      <c r="F1307" s="37"/>
      <c r="G1307" s="37"/>
      <c r="H1307" s="37"/>
      <c r="I1307" s="37"/>
      <c r="J1307" s="37"/>
      <c r="K1307" s="37"/>
      <c r="L1307" s="37"/>
      <c r="M1307" s="37"/>
      <c r="N1307" s="37"/>
      <c r="O1307" s="37"/>
      <c r="P1307" s="37"/>
      <c r="Q1307" s="37"/>
      <c r="R1307" s="37"/>
      <c r="S1307" s="156"/>
    </row>
  </sheetData>
  <mergeCells count="12">
    <mergeCell ref="A1:AC1"/>
    <mergeCell ref="D2:D3"/>
    <mergeCell ref="E2:E3"/>
    <mergeCell ref="F2:F3"/>
    <mergeCell ref="G2:G3"/>
    <mergeCell ref="H2:H3"/>
    <mergeCell ref="A2:A3"/>
    <mergeCell ref="B2:B3"/>
    <mergeCell ref="C2:C3"/>
    <mergeCell ref="I2:S2"/>
    <mergeCell ref="U2:Z2"/>
    <mergeCell ref="AA2:AC2"/>
  </mergeCells>
  <phoneticPr fontId="0" type="noConversion"/>
  <printOptions horizontalCentered="1" gridLines="1"/>
  <pageMargins left="0.43307086614173201" right="0" top="0.32" bottom="0.27" header="0" footer="0.16"/>
  <pageSetup scale="89" firstPageNumber="11" pageOrder="overThenDown" orientation="landscape" useFirstPageNumber="1" r:id="rId1"/>
  <headerFooter alignWithMargins="0">
    <oddHeader xml:space="preserve">&amp;R
</oddHeader>
    <oddFooter>&amp;C&amp;P</oddFooter>
  </headerFooter>
  <rowBreaks count="1" manualBreakCount="1">
    <brk id="1168" max="28" man="1"/>
  </rowBreaks>
  <colBreaks count="1" manualBreakCount="1">
    <brk id="2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12" enableFormatConditionsCalculation="0">
    <tabColor rgb="FF00B050"/>
  </sheetPr>
  <dimension ref="A1:O177"/>
  <sheetViews>
    <sheetView tabSelected="1" view="pageBreakPreview" zoomScaleNormal="115" zoomScaleSheetLayoutView="100" workbookViewId="0">
      <pane ySplit="5" topLeftCell="A6" activePane="bottomLeft" state="frozen"/>
      <selection activeCell="C13" sqref="C13"/>
      <selection pane="bottomLeft" activeCell="Q7" sqref="Q7"/>
    </sheetView>
  </sheetViews>
  <sheetFormatPr defaultRowHeight="12.75" x14ac:dyDescent="0.2"/>
  <cols>
    <col min="1" max="1" width="26.28515625" style="2" customWidth="1"/>
    <col min="2" max="2" width="11.28515625" style="2" customWidth="1"/>
    <col min="3" max="3" width="10.28515625" style="2" customWidth="1"/>
    <col min="4" max="4" width="14" style="2" customWidth="1"/>
    <col min="5" max="5" width="12.140625" style="2" customWidth="1"/>
    <col min="6" max="6" width="14" style="2" customWidth="1"/>
    <col min="7" max="7" width="11" style="2" hidden="1" customWidth="1"/>
    <col min="8" max="8" width="12" style="2" customWidth="1"/>
    <col min="9" max="9" width="12" style="148" customWidth="1"/>
    <col min="10" max="10" width="11.140625" style="2" hidden="1" customWidth="1"/>
    <col min="11" max="11" width="12.42578125" style="2" customWidth="1"/>
    <col min="12" max="12" width="12.140625" style="148" customWidth="1"/>
    <col min="13" max="13" width="6" style="2" hidden="1" customWidth="1"/>
    <col min="14" max="14" width="13.5703125" style="2" customWidth="1"/>
    <col min="15" max="15" width="12.42578125" style="148" customWidth="1"/>
    <col min="16" max="16384" width="9.140625" style="2"/>
  </cols>
  <sheetData>
    <row r="1" spans="1:15" ht="27" customHeight="1" x14ac:dyDescent="0.2">
      <c r="A1" s="192" t="s">
        <v>124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1:15" ht="23.25" customHeight="1" x14ac:dyDescent="0.2">
      <c r="A2" s="176" t="s">
        <v>97</v>
      </c>
      <c r="B2" s="176" t="s">
        <v>125</v>
      </c>
      <c r="C2" s="176" t="s">
        <v>126</v>
      </c>
      <c r="D2" s="176" t="s">
        <v>127</v>
      </c>
      <c r="E2" s="176" t="s">
        <v>98</v>
      </c>
      <c r="F2" s="176" t="s">
        <v>55</v>
      </c>
      <c r="G2" s="150" t="s">
        <v>60</v>
      </c>
      <c r="H2" s="185" t="s">
        <v>60</v>
      </c>
      <c r="I2" s="187"/>
      <c r="J2" s="150"/>
      <c r="K2" s="185" t="s">
        <v>61</v>
      </c>
      <c r="L2" s="187"/>
      <c r="M2" s="176" t="s">
        <v>62</v>
      </c>
      <c r="N2" s="176"/>
      <c r="O2" s="176"/>
    </row>
    <row r="3" spans="1:15" ht="43.5" customHeight="1" x14ac:dyDescent="0.2">
      <c r="A3" s="176"/>
      <c r="B3" s="176"/>
      <c r="C3" s="176"/>
      <c r="D3" s="176"/>
      <c r="E3" s="176"/>
      <c r="F3" s="176"/>
      <c r="G3" s="137" t="s">
        <v>494</v>
      </c>
      <c r="H3" s="137" t="s">
        <v>596</v>
      </c>
      <c r="I3" s="137" t="s">
        <v>690</v>
      </c>
      <c r="J3" s="161" t="s">
        <v>536</v>
      </c>
      <c r="K3" s="161" t="s">
        <v>597</v>
      </c>
      <c r="L3" s="161" t="s">
        <v>689</v>
      </c>
      <c r="M3" s="161" t="s">
        <v>536</v>
      </c>
      <c r="N3" s="161" t="s">
        <v>597</v>
      </c>
      <c r="O3" s="161" t="s">
        <v>689</v>
      </c>
    </row>
    <row r="4" spans="1:15" s="21" customFormat="1" x14ac:dyDescent="0.2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9</v>
      </c>
      <c r="K4" s="1">
        <v>10</v>
      </c>
      <c r="L4" s="1">
        <v>11</v>
      </c>
      <c r="M4" s="1">
        <v>11</v>
      </c>
      <c r="N4" s="1">
        <v>12</v>
      </c>
      <c r="O4" s="1">
        <v>13</v>
      </c>
    </row>
    <row r="5" spans="1:15" ht="15" customHeight="1" x14ac:dyDescent="0.2">
      <c r="A5" s="194" t="s">
        <v>48</v>
      </c>
      <c r="B5" s="194"/>
      <c r="C5" s="194"/>
      <c r="D5" s="194"/>
      <c r="E5" s="194"/>
      <c r="F5" s="195" t="s">
        <v>136</v>
      </c>
      <c r="G5" s="8"/>
      <c r="H5" s="4"/>
      <c r="I5" s="4"/>
      <c r="J5" s="8"/>
      <c r="K5" s="4"/>
      <c r="L5" s="4"/>
      <c r="M5" s="8"/>
      <c r="N5" s="4"/>
      <c r="O5" s="4"/>
    </row>
    <row r="6" spans="1:15" ht="28.5" customHeight="1" x14ac:dyDescent="0.2">
      <c r="A6" s="3"/>
      <c r="B6" s="3"/>
      <c r="C6" s="3"/>
      <c r="D6" s="3"/>
      <c r="E6" s="3"/>
      <c r="F6" s="195"/>
      <c r="G6" s="8"/>
      <c r="H6" s="4"/>
      <c r="I6" s="4"/>
      <c r="J6" s="8"/>
      <c r="K6" s="4"/>
      <c r="L6" s="4"/>
      <c r="M6" s="8"/>
      <c r="N6" s="4"/>
      <c r="O6" s="4"/>
    </row>
    <row r="7" spans="1:15" ht="30" customHeight="1" x14ac:dyDescent="0.2">
      <c r="A7" s="4"/>
      <c r="B7" s="5">
        <v>1547</v>
      </c>
      <c r="C7" s="5" t="s">
        <v>49</v>
      </c>
      <c r="D7" s="49" t="s">
        <v>128</v>
      </c>
      <c r="E7" s="8">
        <v>796760000</v>
      </c>
      <c r="F7" s="195"/>
      <c r="G7" s="8">
        <v>796760000</v>
      </c>
      <c r="H7" s="8">
        <f t="shared" ref="H7:H14" si="0">G7</f>
        <v>796760000</v>
      </c>
      <c r="I7" s="8">
        <v>0</v>
      </c>
      <c r="J7" s="8"/>
      <c r="K7" s="4">
        <v>796760000</v>
      </c>
      <c r="L7" s="4">
        <v>0</v>
      </c>
      <c r="M7" s="8">
        <v>67724600</v>
      </c>
      <c r="N7" s="8">
        <f>M7</f>
        <v>67724600</v>
      </c>
      <c r="O7" s="4">
        <v>0</v>
      </c>
    </row>
    <row r="8" spans="1:15" ht="30" customHeight="1" x14ac:dyDescent="0.2">
      <c r="A8" s="4"/>
      <c r="B8" s="5">
        <v>1548</v>
      </c>
      <c r="C8" s="5" t="s">
        <v>49</v>
      </c>
      <c r="D8" s="49" t="s">
        <v>129</v>
      </c>
      <c r="E8" s="8">
        <v>796760000</v>
      </c>
      <c r="F8" s="195"/>
      <c r="G8" s="8">
        <v>796760000</v>
      </c>
      <c r="H8" s="8">
        <f t="shared" si="0"/>
        <v>796760000</v>
      </c>
      <c r="I8" s="8">
        <v>0</v>
      </c>
      <c r="J8" s="8"/>
      <c r="K8" s="4">
        <v>796760000</v>
      </c>
      <c r="L8" s="4">
        <v>0</v>
      </c>
      <c r="M8" s="8">
        <v>67724600</v>
      </c>
      <c r="N8" s="8">
        <f>M8</f>
        <v>67724600</v>
      </c>
      <c r="O8" s="4">
        <v>0</v>
      </c>
    </row>
    <row r="9" spans="1:15" ht="30" customHeight="1" x14ac:dyDescent="0.2">
      <c r="A9" s="4"/>
      <c r="B9" s="5">
        <v>1549</v>
      </c>
      <c r="C9" s="5" t="s">
        <v>49</v>
      </c>
      <c r="D9" s="49" t="s">
        <v>130</v>
      </c>
      <c r="E9" s="8">
        <v>796760000</v>
      </c>
      <c r="F9" s="195"/>
      <c r="G9" s="8">
        <v>796760000</v>
      </c>
      <c r="H9" s="8">
        <f t="shared" si="0"/>
        <v>796760000</v>
      </c>
      <c r="I9" s="8">
        <f>H9</f>
        <v>796760000</v>
      </c>
      <c r="J9" s="8"/>
      <c r="K9" s="4"/>
      <c r="L9" s="8">
        <f>H9</f>
        <v>796760000</v>
      </c>
      <c r="M9" s="8">
        <v>67724600</v>
      </c>
      <c r="N9" s="8">
        <f>M9*1.5</f>
        <v>101586900</v>
      </c>
      <c r="O9" s="4">
        <f>67724600+O10/2</f>
        <v>101586900</v>
      </c>
    </row>
    <row r="10" spans="1:15" ht="30" customHeight="1" x14ac:dyDescent="0.2">
      <c r="A10" s="4"/>
      <c r="B10" s="5">
        <v>1550</v>
      </c>
      <c r="C10" s="5" t="s">
        <v>49</v>
      </c>
      <c r="D10" s="49" t="s">
        <v>131</v>
      </c>
      <c r="E10" s="8">
        <v>796760000</v>
      </c>
      <c r="F10" s="195"/>
      <c r="G10" s="8">
        <v>796760000</v>
      </c>
      <c r="H10" s="8">
        <f t="shared" si="0"/>
        <v>796760000</v>
      </c>
      <c r="I10" s="8">
        <f>H10</f>
        <v>796760000</v>
      </c>
      <c r="J10" s="8"/>
      <c r="K10" s="4"/>
      <c r="L10" s="8">
        <f>H10</f>
        <v>796760000</v>
      </c>
      <c r="M10" s="8">
        <v>67724600</v>
      </c>
      <c r="N10" s="8">
        <f>M10</f>
        <v>67724600</v>
      </c>
      <c r="O10" s="4">
        <v>67724600</v>
      </c>
    </row>
    <row r="11" spans="1:15" ht="30" customHeight="1" x14ac:dyDescent="0.2">
      <c r="A11" s="4"/>
      <c r="B11" s="5">
        <v>882</v>
      </c>
      <c r="C11" s="5" t="s">
        <v>50</v>
      </c>
      <c r="D11" s="49" t="s">
        <v>132</v>
      </c>
      <c r="E11" s="8">
        <v>241045000</v>
      </c>
      <c r="F11" s="195"/>
      <c r="G11" s="8">
        <v>241045000</v>
      </c>
      <c r="H11" s="8">
        <f t="shared" si="0"/>
        <v>241045000</v>
      </c>
      <c r="I11" s="8">
        <v>0</v>
      </c>
      <c r="J11" s="8"/>
      <c r="K11" s="4">
        <v>241045000</v>
      </c>
      <c r="L11" s="4"/>
      <c r="M11" s="8">
        <v>20488825</v>
      </c>
      <c r="N11" s="8">
        <f>M11</f>
        <v>20488825</v>
      </c>
      <c r="O11" s="4">
        <v>0</v>
      </c>
    </row>
    <row r="12" spans="1:15" ht="30" customHeight="1" x14ac:dyDescent="0.2">
      <c r="A12" s="4"/>
      <c r="B12" s="5">
        <v>883</v>
      </c>
      <c r="C12" s="5" t="s">
        <v>50</v>
      </c>
      <c r="D12" s="49" t="s">
        <v>133</v>
      </c>
      <c r="E12" s="8">
        <v>241045000</v>
      </c>
      <c r="F12" s="195"/>
      <c r="G12" s="8">
        <v>241045000</v>
      </c>
      <c r="H12" s="8">
        <f t="shared" si="0"/>
        <v>241045000</v>
      </c>
      <c r="I12" s="8">
        <v>0</v>
      </c>
      <c r="J12" s="8"/>
      <c r="K12" s="4">
        <v>241045000</v>
      </c>
      <c r="L12" s="4"/>
      <c r="M12" s="8">
        <v>20488825</v>
      </c>
      <c r="N12" s="8">
        <f>M12</f>
        <v>20488825</v>
      </c>
      <c r="O12" s="4">
        <v>0</v>
      </c>
    </row>
    <row r="13" spans="1:15" ht="30" customHeight="1" x14ac:dyDescent="0.2">
      <c r="A13" s="4"/>
      <c r="B13" s="5">
        <v>884</v>
      </c>
      <c r="C13" s="5" t="s">
        <v>50</v>
      </c>
      <c r="D13" s="49" t="s">
        <v>134</v>
      </c>
      <c r="E13" s="8">
        <v>241045000</v>
      </c>
      <c r="F13" s="195"/>
      <c r="G13" s="8">
        <v>241045000</v>
      </c>
      <c r="H13" s="8">
        <f t="shared" si="0"/>
        <v>241045000</v>
      </c>
      <c r="I13" s="8">
        <f>H13</f>
        <v>241045000</v>
      </c>
      <c r="J13" s="8"/>
      <c r="K13" s="4"/>
      <c r="L13" s="8">
        <f>H13</f>
        <v>241045000</v>
      </c>
      <c r="M13" s="8">
        <v>20488825</v>
      </c>
      <c r="N13" s="8">
        <f>M13*1.5</f>
        <v>30733237.5</v>
      </c>
      <c r="O13" s="4">
        <f>20488825+O14/2</f>
        <v>30733237.5</v>
      </c>
    </row>
    <row r="14" spans="1:15" ht="30" customHeight="1" x14ac:dyDescent="0.2">
      <c r="A14" s="4"/>
      <c r="B14" s="5">
        <v>885</v>
      </c>
      <c r="C14" s="5" t="s">
        <v>50</v>
      </c>
      <c r="D14" s="49" t="s">
        <v>135</v>
      </c>
      <c r="E14" s="8">
        <v>241045000</v>
      </c>
      <c r="F14" s="195"/>
      <c r="G14" s="8">
        <v>241045000</v>
      </c>
      <c r="H14" s="8">
        <f t="shared" si="0"/>
        <v>241045000</v>
      </c>
      <c r="I14" s="8">
        <f>H14</f>
        <v>241045000</v>
      </c>
      <c r="J14" s="8"/>
      <c r="K14" s="4"/>
      <c r="L14" s="8">
        <f>H14</f>
        <v>241045000</v>
      </c>
      <c r="M14" s="8">
        <v>20488825</v>
      </c>
      <c r="N14" s="8">
        <f>M14</f>
        <v>20488825</v>
      </c>
      <c r="O14" s="4">
        <v>20488825</v>
      </c>
    </row>
    <row r="15" spans="1:15" ht="30" customHeight="1" x14ac:dyDescent="0.2">
      <c r="A15" s="4"/>
      <c r="B15" s="4"/>
      <c r="C15" s="4"/>
      <c r="D15" s="56" t="s">
        <v>137</v>
      </c>
      <c r="E15" s="11">
        <f>SUM(E7:E14)</f>
        <v>4151220000</v>
      </c>
      <c r="F15" s="50"/>
      <c r="G15" s="11">
        <f t="shared" ref="G15:O15" si="1">SUM(G7:G14)</f>
        <v>4151220000</v>
      </c>
      <c r="H15" s="11">
        <f t="shared" si="1"/>
        <v>4151220000</v>
      </c>
      <c r="I15" s="11">
        <f t="shared" si="1"/>
        <v>2075610000</v>
      </c>
      <c r="J15" s="11">
        <f t="shared" si="1"/>
        <v>0</v>
      </c>
      <c r="K15" s="11">
        <f t="shared" si="1"/>
        <v>2075610000</v>
      </c>
      <c r="L15" s="11">
        <f t="shared" si="1"/>
        <v>2075610000</v>
      </c>
      <c r="M15" s="11">
        <f t="shared" si="1"/>
        <v>352853700</v>
      </c>
      <c r="N15" s="11">
        <f t="shared" si="1"/>
        <v>396960412.5</v>
      </c>
      <c r="O15" s="11">
        <f t="shared" si="1"/>
        <v>220533562.5</v>
      </c>
    </row>
    <row r="16" spans="1:15" ht="30" customHeight="1" x14ac:dyDescent="0.2">
      <c r="E16" s="35"/>
      <c r="F16" s="35"/>
      <c r="G16" s="35"/>
      <c r="H16" s="35"/>
      <c r="I16" s="153"/>
      <c r="J16" s="35"/>
      <c r="K16" s="35"/>
      <c r="L16" s="153"/>
      <c r="M16" s="35"/>
      <c r="N16" s="35"/>
    </row>
    <row r="17" spans="5:14" ht="30" customHeight="1" x14ac:dyDescent="0.2">
      <c r="E17" s="35"/>
      <c r="F17" s="35"/>
      <c r="G17" s="35"/>
      <c r="H17" s="35"/>
      <c r="I17" s="153"/>
      <c r="J17" s="35"/>
      <c r="K17" s="35"/>
      <c r="L17" s="153"/>
      <c r="M17" s="35"/>
      <c r="N17" s="35"/>
    </row>
    <row r="18" spans="5:14" ht="30" customHeight="1" x14ac:dyDescent="0.2">
      <c r="E18" s="35"/>
      <c r="F18" s="35"/>
      <c r="G18" s="35"/>
      <c r="H18" s="35"/>
      <c r="I18" s="153"/>
      <c r="J18" s="35"/>
      <c r="K18" s="35"/>
      <c r="L18" s="153"/>
      <c r="M18" s="35"/>
      <c r="N18" s="35"/>
    </row>
    <row r="19" spans="5:14" ht="30" customHeight="1" x14ac:dyDescent="0.2">
      <c r="E19" s="35"/>
      <c r="F19" s="35"/>
      <c r="G19" s="35"/>
      <c r="H19" s="35"/>
      <c r="I19" s="153"/>
      <c r="J19" s="35"/>
      <c r="K19" s="35"/>
      <c r="L19" s="153"/>
      <c r="M19" s="35"/>
      <c r="N19" s="35"/>
    </row>
    <row r="20" spans="5:14" ht="30" customHeight="1" x14ac:dyDescent="0.2">
      <c r="E20" s="35"/>
      <c r="F20" s="35"/>
      <c r="G20" s="35"/>
      <c r="H20" s="35"/>
      <c r="I20" s="153"/>
      <c r="J20" s="35"/>
      <c r="K20" s="35"/>
      <c r="L20" s="153"/>
      <c r="M20" s="35"/>
      <c r="N20" s="35"/>
    </row>
    <row r="21" spans="5:14" ht="30" customHeight="1" x14ac:dyDescent="0.2">
      <c r="E21" s="35"/>
      <c r="F21" s="35"/>
      <c r="G21" s="35"/>
      <c r="H21" s="35"/>
      <c r="I21" s="153"/>
      <c r="J21" s="35"/>
      <c r="K21" s="35"/>
      <c r="L21" s="153"/>
      <c r="M21" s="35"/>
      <c r="N21" s="35"/>
    </row>
    <row r="22" spans="5:14" ht="30" customHeight="1" x14ac:dyDescent="0.2">
      <c r="E22" s="35"/>
      <c r="F22" s="35"/>
      <c r="G22" s="35"/>
      <c r="H22" s="35"/>
      <c r="I22" s="153"/>
      <c r="J22" s="35"/>
      <c r="K22" s="35"/>
      <c r="L22" s="153"/>
      <c r="M22" s="35"/>
      <c r="N22" s="35"/>
    </row>
    <row r="23" spans="5:14" ht="30" customHeight="1" x14ac:dyDescent="0.2">
      <c r="E23" s="35"/>
      <c r="F23" s="35"/>
      <c r="G23" s="35"/>
      <c r="H23" s="35"/>
      <c r="I23" s="153"/>
      <c r="J23" s="35"/>
      <c r="K23" s="35"/>
      <c r="L23" s="153"/>
      <c r="M23" s="35"/>
      <c r="N23" s="35"/>
    </row>
    <row r="24" spans="5:14" ht="30" customHeight="1" x14ac:dyDescent="0.2">
      <c r="E24" s="35"/>
      <c r="F24" s="35"/>
      <c r="G24" s="35"/>
      <c r="H24" s="35"/>
      <c r="I24" s="153"/>
      <c r="J24" s="35"/>
      <c r="K24" s="35"/>
      <c r="L24" s="153"/>
      <c r="M24" s="35"/>
      <c r="N24" s="35"/>
    </row>
    <row r="25" spans="5:14" ht="30" customHeight="1" x14ac:dyDescent="0.2">
      <c r="E25" s="35"/>
      <c r="F25" s="35"/>
      <c r="G25" s="35"/>
      <c r="H25" s="35"/>
      <c r="I25" s="153"/>
      <c r="J25" s="35"/>
      <c r="K25" s="35"/>
      <c r="L25" s="153"/>
      <c r="M25" s="35"/>
      <c r="N25" s="35"/>
    </row>
    <row r="26" spans="5:14" ht="30" customHeight="1" x14ac:dyDescent="0.2">
      <c r="E26" s="35"/>
      <c r="F26" s="35"/>
      <c r="G26" s="35"/>
      <c r="H26" s="35"/>
      <c r="I26" s="153"/>
      <c r="J26" s="35"/>
      <c r="K26" s="35"/>
      <c r="L26" s="153"/>
      <c r="M26" s="35"/>
      <c r="N26" s="35"/>
    </row>
    <row r="27" spans="5:14" ht="30" customHeight="1" x14ac:dyDescent="0.2">
      <c r="E27" s="35"/>
      <c r="F27" s="35"/>
      <c r="G27" s="35"/>
      <c r="H27" s="35"/>
      <c r="I27" s="153"/>
      <c r="J27" s="35"/>
      <c r="K27" s="35"/>
      <c r="L27" s="153"/>
      <c r="M27" s="35"/>
      <c r="N27" s="35"/>
    </row>
    <row r="28" spans="5:14" ht="30" customHeight="1" x14ac:dyDescent="0.2">
      <c r="E28" s="35"/>
      <c r="F28" s="35"/>
      <c r="G28" s="35"/>
      <c r="H28" s="35"/>
      <c r="I28" s="153"/>
      <c r="J28" s="35"/>
      <c r="K28" s="35"/>
      <c r="L28" s="153"/>
      <c r="M28" s="35"/>
      <c r="N28" s="35"/>
    </row>
    <row r="29" spans="5:14" ht="30" customHeight="1" x14ac:dyDescent="0.2">
      <c r="G29" s="35"/>
      <c r="H29" s="35"/>
      <c r="I29" s="153"/>
      <c r="J29" s="35"/>
      <c r="K29" s="35"/>
      <c r="L29" s="153"/>
      <c r="M29" s="35"/>
      <c r="N29" s="35"/>
    </row>
    <row r="30" spans="5:14" ht="30" customHeight="1" x14ac:dyDescent="0.2">
      <c r="G30" s="35"/>
      <c r="H30" s="35"/>
      <c r="I30" s="153"/>
      <c r="J30" s="35"/>
      <c r="K30" s="35"/>
      <c r="L30" s="153"/>
      <c r="M30" s="35"/>
      <c r="N30" s="35"/>
    </row>
    <row r="31" spans="5:14" ht="30" customHeight="1" x14ac:dyDescent="0.2">
      <c r="G31" s="35"/>
      <c r="H31" s="35"/>
      <c r="I31" s="153"/>
      <c r="J31" s="35"/>
      <c r="K31" s="35"/>
      <c r="L31" s="153"/>
      <c r="M31" s="35"/>
      <c r="N31" s="35"/>
    </row>
    <row r="32" spans="5:14" ht="30" customHeight="1" x14ac:dyDescent="0.2">
      <c r="G32" s="35"/>
      <c r="H32" s="35"/>
      <c r="I32" s="153"/>
      <c r="J32" s="35"/>
      <c r="K32" s="35"/>
      <c r="L32" s="153"/>
      <c r="M32" s="35"/>
      <c r="N32" s="35"/>
    </row>
    <row r="33" spans="7:14" ht="30" customHeight="1" x14ac:dyDescent="0.2">
      <c r="G33" s="35"/>
      <c r="H33" s="35"/>
      <c r="I33" s="153"/>
      <c r="J33" s="35"/>
      <c r="K33" s="35"/>
      <c r="L33" s="153"/>
      <c r="M33" s="35"/>
      <c r="N33" s="35"/>
    </row>
    <row r="34" spans="7:14" ht="30" customHeight="1" x14ac:dyDescent="0.2">
      <c r="G34" s="35"/>
      <c r="H34" s="35"/>
      <c r="I34" s="153"/>
      <c r="J34" s="35"/>
      <c r="K34" s="35"/>
      <c r="L34" s="153"/>
      <c r="M34" s="35"/>
      <c r="N34" s="35"/>
    </row>
    <row r="35" spans="7:14" ht="30" customHeight="1" x14ac:dyDescent="0.2">
      <c r="G35" s="35"/>
      <c r="H35" s="35"/>
      <c r="I35" s="153"/>
      <c r="J35" s="35"/>
      <c r="K35" s="35"/>
      <c r="L35" s="153"/>
      <c r="M35" s="35"/>
      <c r="N35" s="35"/>
    </row>
    <row r="36" spans="7:14" ht="30" customHeight="1" x14ac:dyDescent="0.2">
      <c r="G36" s="35"/>
      <c r="H36" s="35"/>
      <c r="I36" s="153"/>
      <c r="J36" s="35"/>
      <c r="K36" s="35"/>
      <c r="L36" s="153"/>
      <c r="M36" s="35"/>
      <c r="N36" s="35"/>
    </row>
    <row r="37" spans="7:14" ht="30" customHeight="1" x14ac:dyDescent="0.2">
      <c r="G37" s="35"/>
      <c r="H37" s="35"/>
      <c r="I37" s="153"/>
      <c r="J37" s="35"/>
      <c r="K37" s="35"/>
      <c r="L37" s="153"/>
      <c r="M37" s="35"/>
      <c r="N37" s="35"/>
    </row>
    <row r="38" spans="7:14" ht="30" customHeight="1" x14ac:dyDescent="0.2">
      <c r="G38" s="35"/>
      <c r="H38" s="35"/>
      <c r="I38" s="153"/>
      <c r="J38" s="35"/>
      <c r="K38" s="35"/>
      <c r="L38" s="153"/>
      <c r="M38" s="35"/>
      <c r="N38" s="35"/>
    </row>
    <row r="39" spans="7:14" ht="30" customHeight="1" x14ac:dyDescent="0.2">
      <c r="G39" s="35"/>
      <c r="H39" s="35"/>
      <c r="I39" s="153"/>
      <c r="J39" s="35"/>
      <c r="K39" s="35"/>
      <c r="L39" s="153"/>
      <c r="M39" s="35"/>
      <c r="N39" s="35"/>
    </row>
    <row r="40" spans="7:14" ht="30" customHeight="1" x14ac:dyDescent="0.2">
      <c r="G40" s="35"/>
      <c r="H40" s="35"/>
      <c r="I40" s="153"/>
      <c r="J40" s="35"/>
      <c r="K40" s="35"/>
      <c r="L40" s="153"/>
      <c r="M40" s="35"/>
      <c r="N40" s="35"/>
    </row>
    <row r="41" spans="7:14" ht="30" customHeight="1" x14ac:dyDescent="0.2">
      <c r="G41" s="35"/>
      <c r="H41" s="35"/>
      <c r="I41" s="153"/>
      <c r="J41" s="35"/>
      <c r="K41" s="35"/>
      <c r="L41" s="153"/>
      <c r="M41" s="35"/>
      <c r="N41" s="35"/>
    </row>
    <row r="42" spans="7:14" ht="30" customHeight="1" x14ac:dyDescent="0.2">
      <c r="G42" s="35"/>
      <c r="H42" s="35"/>
      <c r="I42" s="153"/>
      <c r="J42" s="35"/>
      <c r="K42" s="35"/>
      <c r="L42" s="153"/>
      <c r="M42" s="35"/>
      <c r="N42" s="35"/>
    </row>
    <row r="43" spans="7:14" ht="30" customHeight="1" x14ac:dyDescent="0.2">
      <c r="G43" s="35"/>
      <c r="H43" s="35"/>
      <c r="I43" s="153"/>
      <c r="J43" s="35"/>
      <c r="K43" s="35"/>
      <c r="L43" s="153"/>
      <c r="M43" s="35"/>
      <c r="N43" s="35"/>
    </row>
    <row r="44" spans="7:14" ht="30" customHeight="1" x14ac:dyDescent="0.2">
      <c r="G44" s="35"/>
      <c r="H44" s="35"/>
      <c r="I44" s="153"/>
      <c r="J44" s="35"/>
      <c r="K44" s="35"/>
      <c r="L44" s="153"/>
      <c r="M44" s="35"/>
      <c r="N44" s="35"/>
    </row>
    <row r="45" spans="7:14" ht="30" customHeight="1" x14ac:dyDescent="0.2">
      <c r="G45" s="35"/>
      <c r="H45" s="35"/>
      <c r="I45" s="153"/>
      <c r="J45" s="35"/>
      <c r="K45" s="35"/>
      <c r="L45" s="153"/>
      <c r="M45" s="35"/>
      <c r="N45" s="35"/>
    </row>
    <row r="46" spans="7:14" ht="30" customHeight="1" x14ac:dyDescent="0.2">
      <c r="G46" s="35"/>
      <c r="H46" s="35"/>
      <c r="I46" s="153"/>
      <c r="J46" s="35"/>
      <c r="K46" s="35"/>
      <c r="L46" s="153"/>
      <c r="M46" s="35"/>
      <c r="N46" s="35"/>
    </row>
    <row r="47" spans="7:14" ht="30" customHeight="1" x14ac:dyDescent="0.2">
      <c r="G47" s="35"/>
      <c r="H47" s="35"/>
      <c r="I47" s="153"/>
      <c r="J47" s="35"/>
      <c r="K47" s="35"/>
      <c r="L47" s="153"/>
      <c r="M47" s="35"/>
      <c r="N47" s="35"/>
    </row>
    <row r="48" spans="7:14" ht="30" customHeight="1" x14ac:dyDescent="0.2">
      <c r="G48" s="35"/>
      <c r="H48" s="35"/>
      <c r="I48" s="153"/>
      <c r="J48" s="35"/>
      <c r="K48" s="35"/>
      <c r="L48" s="153"/>
      <c r="M48" s="35"/>
      <c r="N48" s="35"/>
    </row>
    <row r="49" spans="7:14" ht="30" customHeight="1" x14ac:dyDescent="0.2">
      <c r="G49" s="35"/>
      <c r="H49" s="35"/>
      <c r="I49" s="153"/>
      <c r="J49" s="35"/>
      <c r="K49" s="35"/>
      <c r="L49" s="153"/>
      <c r="M49" s="35"/>
      <c r="N49" s="35"/>
    </row>
    <row r="50" spans="7:14" ht="30" customHeight="1" x14ac:dyDescent="0.2">
      <c r="G50" s="35"/>
      <c r="H50" s="35"/>
      <c r="I50" s="153"/>
      <c r="J50" s="35"/>
      <c r="K50" s="35"/>
      <c r="L50" s="153"/>
      <c r="M50" s="35"/>
      <c r="N50" s="35"/>
    </row>
    <row r="51" spans="7:14" ht="30" customHeight="1" x14ac:dyDescent="0.2">
      <c r="G51" s="35"/>
      <c r="H51" s="35"/>
      <c r="I51" s="153"/>
      <c r="J51" s="35"/>
      <c r="K51" s="35"/>
      <c r="L51" s="153"/>
      <c r="M51" s="35"/>
      <c r="N51" s="35"/>
    </row>
    <row r="52" spans="7:14" ht="30" customHeight="1" x14ac:dyDescent="0.2">
      <c r="G52" s="35"/>
      <c r="H52" s="35"/>
      <c r="I52" s="153"/>
      <c r="J52" s="35"/>
      <c r="K52" s="35"/>
      <c r="L52" s="153"/>
      <c r="M52" s="35"/>
      <c r="N52" s="35"/>
    </row>
    <row r="53" spans="7:14" ht="30" customHeight="1" x14ac:dyDescent="0.2">
      <c r="G53" s="35"/>
      <c r="H53" s="35"/>
      <c r="I53" s="153"/>
      <c r="J53" s="35"/>
      <c r="K53" s="35"/>
      <c r="L53" s="153"/>
      <c r="M53" s="35"/>
      <c r="N53" s="35"/>
    </row>
    <row r="54" spans="7:14" ht="30" customHeight="1" x14ac:dyDescent="0.2">
      <c r="G54" s="35"/>
      <c r="H54" s="35"/>
      <c r="I54" s="153"/>
      <c r="J54" s="35"/>
      <c r="K54" s="35"/>
      <c r="L54" s="153"/>
      <c r="M54" s="35"/>
      <c r="N54" s="35"/>
    </row>
    <row r="55" spans="7:14" ht="30" customHeight="1" x14ac:dyDescent="0.2">
      <c r="G55" s="35"/>
      <c r="H55" s="35"/>
      <c r="I55" s="153"/>
      <c r="J55" s="35"/>
      <c r="K55" s="35"/>
      <c r="L55" s="153"/>
      <c r="M55" s="35"/>
      <c r="N55" s="35"/>
    </row>
    <row r="56" spans="7:14" ht="30" customHeight="1" x14ac:dyDescent="0.2">
      <c r="G56" s="35"/>
      <c r="H56" s="35"/>
      <c r="I56" s="153"/>
      <c r="J56" s="35"/>
      <c r="K56" s="35"/>
      <c r="L56" s="153"/>
      <c r="M56" s="35"/>
      <c r="N56" s="35"/>
    </row>
    <row r="57" spans="7:14" ht="30" customHeight="1" x14ac:dyDescent="0.2">
      <c r="G57" s="35"/>
      <c r="H57" s="35"/>
      <c r="I57" s="153"/>
      <c r="J57" s="35"/>
      <c r="K57" s="35"/>
      <c r="L57" s="153"/>
      <c r="M57" s="35"/>
      <c r="N57" s="35"/>
    </row>
    <row r="58" spans="7:14" ht="30" customHeight="1" x14ac:dyDescent="0.2">
      <c r="G58" s="35"/>
      <c r="H58" s="35"/>
      <c r="I58" s="153"/>
      <c r="J58" s="35"/>
      <c r="K58" s="35"/>
      <c r="L58" s="153"/>
      <c r="M58" s="35"/>
      <c r="N58" s="35"/>
    </row>
    <row r="59" spans="7:14" ht="30" customHeight="1" x14ac:dyDescent="0.2">
      <c r="G59" s="35"/>
      <c r="H59" s="35"/>
      <c r="I59" s="153"/>
      <c r="J59" s="35"/>
      <c r="K59" s="35"/>
      <c r="L59" s="153"/>
      <c r="M59" s="35"/>
      <c r="N59" s="35"/>
    </row>
    <row r="60" spans="7:14" ht="30" customHeight="1" x14ac:dyDescent="0.2">
      <c r="G60" s="35"/>
      <c r="H60" s="35"/>
      <c r="I60" s="153"/>
      <c r="J60" s="35"/>
      <c r="K60" s="35"/>
      <c r="L60" s="153"/>
      <c r="M60" s="35"/>
      <c r="N60" s="35"/>
    </row>
    <row r="61" spans="7:14" ht="30" customHeight="1" x14ac:dyDescent="0.2">
      <c r="G61" s="35"/>
      <c r="H61" s="35"/>
      <c r="I61" s="153"/>
      <c r="J61" s="35"/>
      <c r="K61" s="35"/>
      <c r="L61" s="153"/>
      <c r="M61" s="35"/>
      <c r="N61" s="35"/>
    </row>
    <row r="62" spans="7:14" ht="30" customHeight="1" x14ac:dyDescent="0.2">
      <c r="G62" s="35"/>
      <c r="H62" s="35"/>
      <c r="I62" s="153"/>
      <c r="J62" s="35"/>
      <c r="K62" s="35"/>
      <c r="L62" s="153"/>
      <c r="M62" s="35"/>
      <c r="N62" s="35"/>
    </row>
    <row r="63" spans="7:14" ht="30" customHeight="1" x14ac:dyDescent="0.2">
      <c r="G63" s="35"/>
      <c r="H63" s="35"/>
      <c r="I63" s="153"/>
      <c r="J63" s="35"/>
      <c r="K63" s="35"/>
      <c r="L63" s="153"/>
      <c r="M63" s="35"/>
      <c r="N63" s="35"/>
    </row>
    <row r="64" spans="7:14" ht="30" customHeight="1" x14ac:dyDescent="0.2">
      <c r="G64" s="35"/>
      <c r="H64" s="35"/>
      <c r="I64" s="153"/>
      <c r="J64" s="35"/>
      <c r="K64" s="35"/>
      <c r="L64" s="153"/>
      <c r="M64" s="35"/>
      <c r="N64" s="35"/>
    </row>
    <row r="65" spans="7:14" ht="30" customHeight="1" x14ac:dyDescent="0.2">
      <c r="G65" s="35"/>
      <c r="H65" s="35"/>
      <c r="I65" s="153"/>
      <c r="J65" s="35"/>
      <c r="K65" s="35"/>
      <c r="L65" s="153"/>
      <c r="M65" s="35"/>
      <c r="N65" s="35"/>
    </row>
    <row r="66" spans="7:14" ht="30" customHeight="1" x14ac:dyDescent="0.2">
      <c r="G66" s="35"/>
      <c r="H66" s="35"/>
      <c r="I66" s="153"/>
      <c r="J66" s="35"/>
      <c r="K66" s="35"/>
      <c r="L66" s="153"/>
      <c r="M66" s="35"/>
      <c r="N66" s="35"/>
    </row>
    <row r="67" spans="7:14" ht="30" customHeight="1" x14ac:dyDescent="0.2">
      <c r="G67" s="35"/>
      <c r="H67" s="35"/>
      <c r="I67" s="153"/>
      <c r="J67" s="35"/>
      <c r="K67" s="35"/>
      <c r="L67" s="153"/>
      <c r="M67" s="35"/>
      <c r="N67" s="35"/>
    </row>
    <row r="68" spans="7:14" x14ac:dyDescent="0.2">
      <c r="G68" s="35"/>
      <c r="H68" s="35"/>
      <c r="I68" s="153"/>
      <c r="J68" s="35"/>
      <c r="K68" s="35"/>
      <c r="L68" s="153"/>
      <c r="M68" s="35"/>
      <c r="N68" s="35"/>
    </row>
    <row r="69" spans="7:14" x14ac:dyDescent="0.2">
      <c r="G69" s="35"/>
      <c r="H69" s="35"/>
      <c r="I69" s="153"/>
      <c r="J69" s="35"/>
      <c r="K69" s="35"/>
      <c r="L69" s="153"/>
      <c r="M69" s="35"/>
      <c r="N69" s="35"/>
    </row>
    <row r="70" spans="7:14" x14ac:dyDescent="0.2">
      <c r="G70" s="35"/>
      <c r="H70" s="35"/>
      <c r="I70" s="153"/>
      <c r="J70" s="35"/>
      <c r="K70" s="35"/>
      <c r="L70" s="153"/>
      <c r="M70" s="35"/>
      <c r="N70" s="35"/>
    </row>
    <row r="71" spans="7:14" x14ac:dyDescent="0.2">
      <c r="G71" s="35"/>
      <c r="H71" s="35"/>
      <c r="I71" s="153"/>
      <c r="J71" s="35"/>
      <c r="K71" s="35"/>
      <c r="L71" s="153"/>
      <c r="M71" s="35"/>
      <c r="N71" s="35"/>
    </row>
    <row r="72" spans="7:14" x14ac:dyDescent="0.2">
      <c r="G72" s="35"/>
      <c r="H72" s="35"/>
      <c r="I72" s="153"/>
      <c r="J72" s="35"/>
      <c r="K72" s="35"/>
      <c r="L72" s="153"/>
      <c r="M72" s="35"/>
      <c r="N72" s="35"/>
    </row>
    <row r="73" spans="7:14" x14ac:dyDescent="0.2">
      <c r="G73" s="35"/>
      <c r="H73" s="35"/>
      <c r="I73" s="153"/>
      <c r="J73" s="35"/>
      <c r="K73" s="35"/>
      <c r="L73" s="153"/>
      <c r="M73" s="35"/>
      <c r="N73" s="35"/>
    </row>
    <row r="74" spans="7:14" x14ac:dyDescent="0.2">
      <c r="G74" s="35"/>
      <c r="H74" s="35"/>
      <c r="I74" s="153"/>
      <c r="J74" s="35"/>
      <c r="K74" s="35"/>
      <c r="L74" s="153"/>
      <c r="M74" s="35"/>
      <c r="N74" s="35"/>
    </row>
    <row r="75" spans="7:14" x14ac:dyDescent="0.2">
      <c r="G75" s="35"/>
      <c r="H75" s="35"/>
      <c r="I75" s="153"/>
      <c r="J75" s="35"/>
      <c r="K75" s="35"/>
      <c r="L75" s="153"/>
      <c r="M75" s="35"/>
      <c r="N75" s="35"/>
    </row>
    <row r="76" spans="7:14" x14ac:dyDescent="0.2">
      <c r="G76" s="35"/>
      <c r="H76" s="35"/>
      <c r="I76" s="153"/>
      <c r="J76" s="35"/>
      <c r="K76" s="35"/>
      <c r="L76" s="153"/>
      <c r="M76" s="35"/>
      <c r="N76" s="35"/>
    </row>
    <row r="77" spans="7:14" x14ac:dyDescent="0.2">
      <c r="G77" s="35"/>
      <c r="H77" s="35"/>
      <c r="I77" s="153"/>
      <c r="J77" s="35"/>
      <c r="K77" s="35"/>
      <c r="L77" s="153"/>
      <c r="M77" s="35"/>
      <c r="N77" s="35"/>
    </row>
    <row r="78" spans="7:14" x14ac:dyDescent="0.2">
      <c r="G78" s="35"/>
      <c r="H78" s="35"/>
      <c r="I78" s="153"/>
      <c r="J78" s="35"/>
      <c r="K78" s="35"/>
      <c r="L78" s="153"/>
      <c r="M78" s="35"/>
      <c r="N78" s="35"/>
    </row>
    <row r="79" spans="7:14" x14ac:dyDescent="0.2">
      <c r="G79" s="35"/>
      <c r="H79" s="35"/>
      <c r="I79" s="153"/>
      <c r="J79" s="35"/>
      <c r="K79" s="35"/>
      <c r="L79" s="153"/>
      <c r="M79" s="35"/>
      <c r="N79" s="35"/>
    </row>
    <row r="80" spans="7:14" x14ac:dyDescent="0.2">
      <c r="G80" s="35"/>
      <c r="H80" s="35"/>
      <c r="I80" s="153"/>
      <c r="J80" s="35"/>
      <c r="K80" s="35"/>
      <c r="L80" s="153"/>
      <c r="M80" s="35"/>
      <c r="N80" s="35"/>
    </row>
    <row r="81" spans="7:14" x14ac:dyDescent="0.2">
      <c r="G81" s="35"/>
      <c r="H81" s="35"/>
      <c r="I81" s="153"/>
      <c r="J81" s="35"/>
      <c r="K81" s="35"/>
      <c r="L81" s="153"/>
      <c r="M81" s="35"/>
      <c r="N81" s="35"/>
    </row>
    <row r="82" spans="7:14" x14ac:dyDescent="0.2">
      <c r="G82" s="35"/>
      <c r="H82" s="35"/>
      <c r="I82" s="153"/>
      <c r="J82" s="35"/>
      <c r="K82" s="35"/>
      <c r="L82" s="153"/>
      <c r="M82" s="35"/>
      <c r="N82" s="35"/>
    </row>
    <row r="83" spans="7:14" x14ac:dyDescent="0.2">
      <c r="G83" s="35"/>
      <c r="H83" s="35"/>
      <c r="I83" s="153"/>
      <c r="J83" s="35"/>
      <c r="K83" s="35"/>
      <c r="L83" s="153"/>
      <c r="M83" s="35"/>
      <c r="N83" s="35"/>
    </row>
    <row r="84" spans="7:14" x14ac:dyDescent="0.2">
      <c r="G84" s="35"/>
      <c r="H84" s="35"/>
      <c r="I84" s="153"/>
      <c r="J84" s="35"/>
      <c r="K84" s="35"/>
      <c r="L84" s="153"/>
      <c r="M84" s="35"/>
      <c r="N84" s="35"/>
    </row>
    <row r="85" spans="7:14" x14ac:dyDescent="0.2">
      <c r="G85" s="35"/>
      <c r="H85" s="35"/>
      <c r="I85" s="153"/>
      <c r="J85" s="35"/>
      <c r="K85" s="35"/>
      <c r="L85" s="153"/>
      <c r="M85" s="35"/>
      <c r="N85" s="35"/>
    </row>
    <row r="86" spans="7:14" x14ac:dyDescent="0.2">
      <c r="G86" s="35"/>
      <c r="H86" s="35"/>
      <c r="I86" s="153"/>
      <c r="J86" s="35"/>
      <c r="K86" s="35"/>
      <c r="L86" s="153"/>
      <c r="M86" s="35"/>
      <c r="N86" s="35"/>
    </row>
    <row r="87" spans="7:14" x14ac:dyDescent="0.2">
      <c r="G87" s="35"/>
      <c r="H87" s="35"/>
      <c r="I87" s="153"/>
      <c r="J87" s="35"/>
      <c r="K87" s="35"/>
      <c r="L87" s="153"/>
      <c r="M87" s="35"/>
      <c r="N87" s="35"/>
    </row>
    <row r="88" spans="7:14" x14ac:dyDescent="0.2">
      <c r="G88" s="35"/>
      <c r="H88" s="35"/>
      <c r="I88" s="153"/>
      <c r="J88" s="35"/>
      <c r="K88" s="35"/>
      <c r="L88" s="153"/>
      <c r="M88" s="35"/>
      <c r="N88" s="35"/>
    </row>
    <row r="89" spans="7:14" x14ac:dyDescent="0.2">
      <c r="G89" s="35"/>
      <c r="H89" s="35"/>
      <c r="I89" s="153"/>
      <c r="J89" s="35"/>
      <c r="K89" s="35"/>
      <c r="L89" s="153"/>
      <c r="M89" s="35"/>
      <c r="N89" s="35"/>
    </row>
    <row r="90" spans="7:14" x14ac:dyDescent="0.2">
      <c r="G90" s="35"/>
      <c r="H90" s="35"/>
      <c r="I90" s="153"/>
      <c r="J90" s="35"/>
      <c r="K90" s="35"/>
      <c r="L90" s="153"/>
      <c r="M90" s="35"/>
      <c r="N90" s="35"/>
    </row>
    <row r="91" spans="7:14" x14ac:dyDescent="0.2">
      <c r="G91" s="35"/>
      <c r="H91" s="35"/>
      <c r="I91" s="153"/>
      <c r="J91" s="35"/>
      <c r="K91" s="35"/>
      <c r="L91" s="153"/>
      <c r="M91" s="35"/>
      <c r="N91" s="35"/>
    </row>
    <row r="92" spans="7:14" x14ac:dyDescent="0.2">
      <c r="G92" s="35"/>
      <c r="H92" s="35"/>
      <c r="I92" s="153"/>
      <c r="J92" s="35"/>
      <c r="K92" s="35"/>
      <c r="L92" s="153"/>
      <c r="M92" s="35"/>
      <c r="N92" s="35"/>
    </row>
    <row r="93" spans="7:14" x14ac:dyDescent="0.2">
      <c r="G93" s="35"/>
      <c r="H93" s="35"/>
      <c r="I93" s="153"/>
      <c r="J93" s="35"/>
      <c r="K93" s="35"/>
      <c r="L93" s="153"/>
      <c r="M93" s="35"/>
      <c r="N93" s="35"/>
    </row>
    <row r="94" spans="7:14" x14ac:dyDescent="0.2">
      <c r="G94" s="35"/>
      <c r="H94" s="35"/>
      <c r="I94" s="153"/>
      <c r="J94" s="35"/>
      <c r="K94" s="35"/>
      <c r="L94" s="153"/>
      <c r="M94" s="35"/>
      <c r="N94" s="35"/>
    </row>
    <row r="95" spans="7:14" x14ac:dyDescent="0.2">
      <c r="G95" s="35"/>
      <c r="H95" s="35"/>
      <c r="I95" s="153"/>
      <c r="J95" s="35"/>
      <c r="K95" s="35"/>
      <c r="L95" s="153"/>
      <c r="M95" s="35"/>
      <c r="N95" s="35"/>
    </row>
    <row r="96" spans="7:14" x14ac:dyDescent="0.2">
      <c r="G96" s="35"/>
      <c r="H96" s="35"/>
      <c r="I96" s="153"/>
      <c r="J96" s="35"/>
      <c r="K96" s="35"/>
      <c r="L96" s="153"/>
      <c r="M96" s="35"/>
      <c r="N96" s="35"/>
    </row>
    <row r="97" spans="7:14" x14ac:dyDescent="0.2">
      <c r="G97" s="35"/>
      <c r="H97" s="35"/>
      <c r="I97" s="153"/>
      <c r="J97" s="35"/>
      <c r="K97" s="35"/>
      <c r="L97" s="153"/>
      <c r="M97" s="35"/>
      <c r="N97" s="35"/>
    </row>
    <row r="98" spans="7:14" x14ac:dyDescent="0.2">
      <c r="G98" s="35"/>
      <c r="H98" s="35"/>
      <c r="I98" s="153"/>
      <c r="J98" s="35"/>
      <c r="K98" s="35"/>
      <c r="L98" s="153"/>
      <c r="M98" s="35"/>
      <c r="N98" s="35"/>
    </row>
    <row r="99" spans="7:14" x14ac:dyDescent="0.2">
      <c r="G99" s="35"/>
      <c r="H99" s="35"/>
      <c r="I99" s="153"/>
      <c r="J99" s="35"/>
      <c r="K99" s="35"/>
      <c r="L99" s="153"/>
      <c r="M99" s="35"/>
      <c r="N99" s="35"/>
    </row>
    <row r="100" spans="7:14" x14ac:dyDescent="0.2">
      <c r="G100" s="35"/>
      <c r="H100" s="35"/>
      <c r="I100" s="153"/>
      <c r="J100" s="35"/>
      <c r="K100" s="35"/>
      <c r="L100" s="153"/>
      <c r="M100" s="35"/>
      <c r="N100" s="35"/>
    </row>
    <row r="101" spans="7:14" x14ac:dyDescent="0.2">
      <c r="G101" s="35"/>
      <c r="H101" s="35"/>
      <c r="I101" s="153"/>
      <c r="J101" s="35"/>
      <c r="K101" s="35"/>
      <c r="L101" s="153"/>
      <c r="M101" s="35"/>
      <c r="N101" s="35"/>
    </row>
    <row r="102" spans="7:14" x14ac:dyDescent="0.2">
      <c r="G102" s="35"/>
      <c r="H102" s="35"/>
      <c r="I102" s="153"/>
      <c r="J102" s="35"/>
      <c r="K102" s="35"/>
      <c r="L102" s="153"/>
      <c r="M102" s="35"/>
      <c r="N102" s="35"/>
    </row>
    <row r="103" spans="7:14" x14ac:dyDescent="0.2">
      <c r="G103" s="35"/>
      <c r="H103" s="35"/>
      <c r="I103" s="153"/>
      <c r="J103" s="35"/>
      <c r="K103" s="35"/>
      <c r="L103" s="153"/>
      <c r="M103" s="35"/>
      <c r="N103" s="35"/>
    </row>
    <row r="104" spans="7:14" x14ac:dyDescent="0.2">
      <c r="G104" s="35"/>
      <c r="H104" s="35"/>
      <c r="I104" s="153"/>
      <c r="J104" s="35"/>
      <c r="K104" s="35"/>
      <c r="L104" s="153"/>
      <c r="M104" s="35"/>
      <c r="N104" s="35"/>
    </row>
    <row r="105" spans="7:14" x14ac:dyDescent="0.2">
      <c r="G105" s="35"/>
      <c r="H105" s="35"/>
      <c r="I105" s="153"/>
      <c r="J105" s="35"/>
      <c r="K105" s="35"/>
      <c r="L105" s="153"/>
      <c r="M105" s="35"/>
      <c r="N105" s="35"/>
    </row>
    <row r="106" spans="7:14" x14ac:dyDescent="0.2">
      <c r="G106" s="35"/>
      <c r="H106" s="35"/>
      <c r="I106" s="153"/>
      <c r="J106" s="35"/>
      <c r="K106" s="35"/>
      <c r="L106" s="153"/>
      <c r="M106" s="35"/>
      <c r="N106" s="35"/>
    </row>
    <row r="107" spans="7:14" x14ac:dyDescent="0.2">
      <c r="G107" s="35"/>
      <c r="H107" s="35"/>
      <c r="I107" s="153"/>
      <c r="J107" s="35"/>
      <c r="K107" s="35"/>
      <c r="L107" s="153"/>
      <c r="M107" s="35"/>
      <c r="N107" s="35"/>
    </row>
    <row r="108" spans="7:14" x14ac:dyDescent="0.2">
      <c r="G108" s="35"/>
      <c r="H108" s="35"/>
      <c r="I108" s="153"/>
      <c r="J108" s="35"/>
      <c r="K108" s="35"/>
      <c r="L108" s="153"/>
      <c r="M108" s="35"/>
      <c r="N108" s="35"/>
    </row>
    <row r="109" spans="7:14" x14ac:dyDescent="0.2">
      <c r="G109" s="35"/>
      <c r="H109" s="35"/>
      <c r="I109" s="153"/>
      <c r="J109" s="35"/>
      <c r="K109" s="35"/>
      <c r="L109" s="153"/>
      <c r="M109" s="35"/>
      <c r="N109" s="35"/>
    </row>
    <row r="110" spans="7:14" x14ac:dyDescent="0.2">
      <c r="G110" s="35"/>
      <c r="H110" s="35"/>
      <c r="I110" s="153"/>
      <c r="J110" s="35"/>
      <c r="K110" s="35"/>
      <c r="L110" s="153"/>
      <c r="M110" s="35"/>
      <c r="N110" s="35"/>
    </row>
    <row r="111" spans="7:14" x14ac:dyDescent="0.2">
      <c r="G111" s="35"/>
      <c r="H111" s="35"/>
      <c r="I111" s="153"/>
      <c r="J111" s="35"/>
      <c r="K111" s="35"/>
      <c r="L111" s="153"/>
      <c r="M111" s="35"/>
      <c r="N111" s="35"/>
    </row>
    <row r="112" spans="7:14" x14ac:dyDescent="0.2">
      <c r="G112" s="35"/>
      <c r="H112" s="35"/>
      <c r="I112" s="153"/>
      <c r="J112" s="35"/>
      <c r="K112" s="35"/>
      <c r="L112" s="153"/>
      <c r="M112" s="35"/>
      <c r="N112" s="35"/>
    </row>
    <row r="113" spans="7:14" x14ac:dyDescent="0.2">
      <c r="G113" s="35"/>
      <c r="H113" s="35"/>
      <c r="I113" s="153"/>
      <c r="J113" s="35"/>
      <c r="K113" s="35"/>
      <c r="L113" s="153"/>
      <c r="M113" s="35"/>
      <c r="N113" s="35"/>
    </row>
    <row r="114" spans="7:14" x14ac:dyDescent="0.2">
      <c r="G114" s="35"/>
      <c r="H114" s="35"/>
      <c r="I114" s="153"/>
      <c r="J114" s="35"/>
      <c r="K114" s="35"/>
      <c r="L114" s="153"/>
      <c r="M114" s="35"/>
      <c r="N114" s="35"/>
    </row>
    <row r="115" spans="7:14" x14ac:dyDescent="0.2">
      <c r="G115" s="35"/>
      <c r="H115" s="35"/>
      <c r="I115" s="153"/>
      <c r="J115" s="35"/>
      <c r="K115" s="35"/>
      <c r="L115" s="153"/>
      <c r="M115" s="35"/>
      <c r="N115" s="35"/>
    </row>
    <row r="116" spans="7:14" x14ac:dyDescent="0.2">
      <c r="G116" s="35"/>
      <c r="H116" s="35"/>
      <c r="I116" s="153"/>
      <c r="J116" s="35"/>
      <c r="K116" s="35"/>
      <c r="L116" s="153"/>
      <c r="M116" s="35"/>
      <c r="N116" s="35"/>
    </row>
    <row r="117" spans="7:14" x14ac:dyDescent="0.2">
      <c r="G117" s="35"/>
      <c r="H117" s="35"/>
      <c r="I117" s="153"/>
      <c r="J117" s="35"/>
      <c r="K117" s="35"/>
      <c r="L117" s="153"/>
      <c r="M117" s="35"/>
      <c r="N117" s="35"/>
    </row>
    <row r="118" spans="7:14" x14ac:dyDescent="0.2">
      <c r="G118" s="35"/>
      <c r="H118" s="35"/>
      <c r="I118" s="153"/>
      <c r="J118" s="35"/>
      <c r="K118" s="35"/>
      <c r="L118" s="153"/>
      <c r="M118" s="35"/>
      <c r="N118" s="35"/>
    </row>
    <row r="119" spans="7:14" x14ac:dyDescent="0.2">
      <c r="G119" s="35"/>
      <c r="H119" s="35"/>
      <c r="I119" s="153"/>
      <c r="J119" s="35"/>
      <c r="K119" s="35"/>
      <c r="L119" s="153"/>
      <c r="M119" s="35"/>
      <c r="N119" s="35"/>
    </row>
    <row r="120" spans="7:14" x14ac:dyDescent="0.2">
      <c r="G120" s="35"/>
      <c r="H120" s="35"/>
      <c r="I120" s="153"/>
      <c r="J120" s="35"/>
      <c r="K120" s="35"/>
      <c r="L120" s="153"/>
      <c r="M120" s="35"/>
      <c r="N120" s="35"/>
    </row>
    <row r="121" spans="7:14" x14ac:dyDescent="0.2">
      <c r="G121" s="35"/>
      <c r="H121" s="35"/>
      <c r="I121" s="153"/>
      <c r="J121" s="35"/>
      <c r="K121" s="35"/>
      <c r="L121" s="153"/>
      <c r="M121" s="35"/>
      <c r="N121" s="35"/>
    </row>
    <row r="122" spans="7:14" x14ac:dyDescent="0.2">
      <c r="G122" s="35"/>
      <c r="H122" s="35"/>
      <c r="I122" s="153"/>
      <c r="J122" s="35"/>
      <c r="K122" s="35"/>
      <c r="L122" s="153"/>
      <c r="M122" s="35"/>
      <c r="N122" s="35"/>
    </row>
    <row r="123" spans="7:14" x14ac:dyDescent="0.2">
      <c r="G123" s="35"/>
      <c r="H123" s="35"/>
      <c r="I123" s="153"/>
      <c r="J123" s="35"/>
      <c r="K123" s="35"/>
      <c r="L123" s="153"/>
      <c r="M123" s="35"/>
      <c r="N123" s="35"/>
    </row>
    <row r="124" spans="7:14" x14ac:dyDescent="0.2">
      <c r="G124" s="35"/>
      <c r="H124" s="35"/>
      <c r="I124" s="153"/>
      <c r="J124" s="35"/>
      <c r="K124" s="35"/>
      <c r="L124" s="153"/>
      <c r="M124" s="35"/>
      <c r="N124" s="35"/>
    </row>
    <row r="125" spans="7:14" x14ac:dyDescent="0.2">
      <c r="G125" s="35"/>
      <c r="H125" s="35"/>
      <c r="I125" s="153"/>
      <c r="J125" s="35"/>
      <c r="K125" s="35"/>
      <c r="L125" s="153"/>
      <c r="M125" s="35"/>
      <c r="N125" s="35"/>
    </row>
    <row r="126" spans="7:14" x14ac:dyDescent="0.2">
      <c r="G126" s="35"/>
      <c r="H126" s="35"/>
      <c r="I126" s="153"/>
      <c r="J126" s="35"/>
      <c r="K126" s="35"/>
      <c r="L126" s="153"/>
      <c r="M126" s="35"/>
      <c r="N126" s="35"/>
    </row>
    <row r="127" spans="7:14" x14ac:dyDescent="0.2">
      <c r="G127" s="35"/>
      <c r="H127" s="35"/>
      <c r="I127" s="153"/>
      <c r="J127" s="35"/>
      <c r="K127" s="35"/>
      <c r="L127" s="153"/>
      <c r="M127" s="35"/>
      <c r="N127" s="35"/>
    </row>
    <row r="128" spans="7:14" x14ac:dyDescent="0.2">
      <c r="G128" s="35"/>
      <c r="H128" s="35"/>
      <c r="I128" s="153"/>
      <c r="J128" s="35"/>
      <c r="K128" s="35"/>
      <c r="L128" s="153"/>
      <c r="M128" s="35"/>
      <c r="N128" s="35"/>
    </row>
    <row r="129" spans="7:14" x14ac:dyDescent="0.2">
      <c r="G129" s="35"/>
      <c r="H129" s="35"/>
      <c r="I129" s="153"/>
      <c r="J129" s="35"/>
      <c r="K129" s="35"/>
      <c r="L129" s="153"/>
      <c r="M129" s="35"/>
      <c r="N129" s="35"/>
    </row>
    <row r="130" spans="7:14" x14ac:dyDescent="0.2">
      <c r="G130" s="35"/>
      <c r="H130" s="35"/>
      <c r="I130" s="153"/>
      <c r="J130" s="35"/>
      <c r="K130" s="35"/>
      <c r="L130" s="153"/>
      <c r="M130" s="35"/>
      <c r="N130" s="35"/>
    </row>
    <row r="131" spans="7:14" x14ac:dyDescent="0.2">
      <c r="G131" s="35"/>
      <c r="H131" s="35"/>
      <c r="I131" s="153"/>
      <c r="J131" s="35"/>
      <c r="K131" s="35"/>
      <c r="L131" s="153"/>
      <c r="M131" s="35"/>
      <c r="N131" s="35"/>
    </row>
    <row r="132" spans="7:14" x14ac:dyDescent="0.2">
      <c r="G132" s="35"/>
      <c r="H132" s="35"/>
      <c r="I132" s="153"/>
      <c r="J132" s="35"/>
      <c r="K132" s="35"/>
      <c r="L132" s="153"/>
      <c r="M132" s="35"/>
      <c r="N132" s="35"/>
    </row>
    <row r="133" spans="7:14" x14ac:dyDescent="0.2">
      <c r="G133" s="35"/>
      <c r="H133" s="35"/>
      <c r="I133" s="153"/>
      <c r="J133" s="35"/>
      <c r="K133" s="35"/>
      <c r="L133" s="153"/>
      <c r="M133" s="35"/>
      <c r="N133" s="35"/>
    </row>
    <row r="134" spans="7:14" x14ac:dyDescent="0.2">
      <c r="G134" s="35"/>
      <c r="H134" s="35"/>
      <c r="I134" s="153"/>
      <c r="J134" s="35"/>
      <c r="K134" s="35"/>
      <c r="L134" s="153"/>
      <c r="M134" s="35"/>
      <c r="N134" s="35"/>
    </row>
    <row r="135" spans="7:14" x14ac:dyDescent="0.2">
      <c r="G135" s="35"/>
      <c r="H135" s="35"/>
      <c r="I135" s="153"/>
      <c r="J135" s="35"/>
      <c r="K135" s="35"/>
      <c r="L135" s="153"/>
      <c r="M135" s="35"/>
      <c r="N135" s="35"/>
    </row>
    <row r="136" spans="7:14" x14ac:dyDescent="0.2">
      <c r="G136" s="35"/>
      <c r="H136" s="35"/>
      <c r="I136" s="153"/>
      <c r="J136" s="35"/>
      <c r="K136" s="35"/>
      <c r="L136" s="153"/>
      <c r="M136" s="35"/>
      <c r="N136" s="35"/>
    </row>
    <row r="137" spans="7:14" x14ac:dyDescent="0.2">
      <c r="G137" s="35"/>
      <c r="H137" s="35"/>
      <c r="I137" s="153"/>
      <c r="J137" s="35"/>
      <c r="K137" s="35"/>
      <c r="L137" s="153"/>
      <c r="M137" s="35"/>
      <c r="N137" s="35"/>
    </row>
    <row r="138" spans="7:14" x14ac:dyDescent="0.2">
      <c r="G138" s="35"/>
      <c r="H138" s="35"/>
      <c r="I138" s="153"/>
      <c r="J138" s="35"/>
      <c r="K138" s="35"/>
      <c r="L138" s="153"/>
      <c r="M138" s="35"/>
      <c r="N138" s="35"/>
    </row>
    <row r="139" spans="7:14" x14ac:dyDescent="0.2">
      <c r="G139" s="35"/>
      <c r="H139" s="35"/>
      <c r="I139" s="153"/>
      <c r="J139" s="35"/>
      <c r="K139" s="35"/>
      <c r="L139" s="153"/>
      <c r="M139" s="35"/>
      <c r="N139" s="35"/>
    </row>
    <row r="140" spans="7:14" x14ac:dyDescent="0.2">
      <c r="G140" s="35"/>
      <c r="H140" s="35"/>
      <c r="I140" s="153"/>
      <c r="J140" s="35"/>
      <c r="K140" s="35"/>
      <c r="L140" s="153"/>
      <c r="M140" s="35"/>
      <c r="N140" s="35"/>
    </row>
    <row r="141" spans="7:14" x14ac:dyDescent="0.2">
      <c r="G141" s="35"/>
      <c r="H141" s="35"/>
      <c r="I141" s="153"/>
      <c r="J141" s="35"/>
      <c r="K141" s="35"/>
      <c r="L141" s="153"/>
      <c r="M141" s="35"/>
      <c r="N141" s="35"/>
    </row>
    <row r="142" spans="7:14" x14ac:dyDescent="0.2">
      <c r="G142" s="35"/>
      <c r="H142" s="35"/>
      <c r="I142" s="153"/>
      <c r="J142" s="35"/>
      <c r="K142" s="35"/>
      <c r="L142" s="153"/>
      <c r="M142" s="35"/>
      <c r="N142" s="35"/>
    </row>
    <row r="143" spans="7:14" x14ac:dyDescent="0.2">
      <c r="G143" s="35"/>
      <c r="H143" s="35"/>
      <c r="I143" s="153"/>
      <c r="J143" s="35"/>
      <c r="K143" s="35"/>
      <c r="L143" s="153"/>
      <c r="M143" s="35"/>
      <c r="N143" s="35"/>
    </row>
    <row r="144" spans="7:14" x14ac:dyDescent="0.2">
      <c r="G144" s="35"/>
      <c r="H144" s="35"/>
      <c r="I144" s="153"/>
      <c r="J144" s="35"/>
      <c r="K144" s="35"/>
      <c r="L144" s="153"/>
      <c r="M144" s="35"/>
      <c r="N144" s="35"/>
    </row>
    <row r="145" spans="7:14" x14ac:dyDescent="0.2">
      <c r="G145" s="35"/>
      <c r="H145" s="35"/>
      <c r="I145" s="153"/>
      <c r="J145" s="35"/>
      <c r="K145" s="35"/>
      <c r="L145" s="153"/>
      <c r="M145" s="35"/>
      <c r="N145" s="35"/>
    </row>
    <row r="146" spans="7:14" x14ac:dyDescent="0.2">
      <c r="G146" s="35"/>
      <c r="H146" s="35"/>
      <c r="I146" s="153"/>
      <c r="J146" s="35"/>
      <c r="K146" s="35"/>
      <c r="L146" s="153"/>
      <c r="M146" s="35"/>
      <c r="N146" s="35"/>
    </row>
    <row r="147" spans="7:14" x14ac:dyDescent="0.2">
      <c r="G147" s="35"/>
      <c r="H147" s="35"/>
      <c r="I147" s="153"/>
      <c r="J147" s="35"/>
      <c r="K147" s="35"/>
      <c r="L147" s="153"/>
      <c r="M147" s="35"/>
      <c r="N147" s="35"/>
    </row>
    <row r="148" spans="7:14" x14ac:dyDescent="0.2">
      <c r="G148" s="35"/>
      <c r="H148" s="35"/>
      <c r="I148" s="153"/>
      <c r="J148" s="35"/>
      <c r="K148" s="35"/>
      <c r="L148" s="153"/>
      <c r="M148" s="35"/>
      <c r="N148" s="35"/>
    </row>
    <row r="149" spans="7:14" x14ac:dyDescent="0.2">
      <c r="G149" s="35"/>
      <c r="H149" s="35"/>
      <c r="I149" s="153"/>
      <c r="J149" s="35"/>
      <c r="K149" s="35"/>
      <c r="L149" s="153"/>
      <c r="M149" s="35"/>
      <c r="N149" s="35"/>
    </row>
    <row r="150" spans="7:14" x14ac:dyDescent="0.2">
      <c r="G150" s="35"/>
      <c r="H150" s="35"/>
      <c r="I150" s="153"/>
      <c r="J150" s="35"/>
      <c r="K150" s="35"/>
      <c r="L150" s="153"/>
      <c r="M150" s="35"/>
      <c r="N150" s="35"/>
    </row>
    <row r="151" spans="7:14" x14ac:dyDescent="0.2">
      <c r="G151" s="35"/>
      <c r="H151" s="35"/>
      <c r="I151" s="153"/>
      <c r="J151" s="35"/>
      <c r="K151" s="35"/>
      <c r="L151" s="153"/>
      <c r="M151" s="35"/>
      <c r="N151" s="35"/>
    </row>
    <row r="152" spans="7:14" x14ac:dyDescent="0.2">
      <c r="G152" s="35"/>
      <c r="H152" s="35"/>
      <c r="I152" s="153"/>
      <c r="J152" s="35"/>
      <c r="K152" s="35"/>
      <c r="L152" s="153"/>
      <c r="M152" s="35"/>
      <c r="N152" s="35"/>
    </row>
    <row r="153" spans="7:14" x14ac:dyDescent="0.2">
      <c r="G153" s="35"/>
      <c r="H153" s="35"/>
      <c r="I153" s="153"/>
      <c r="J153" s="35"/>
      <c r="K153" s="35"/>
      <c r="L153" s="153"/>
      <c r="M153" s="35"/>
      <c r="N153" s="35"/>
    </row>
    <row r="154" spans="7:14" x14ac:dyDescent="0.2">
      <c r="G154" s="35"/>
      <c r="H154" s="35"/>
      <c r="I154" s="153"/>
      <c r="J154" s="35"/>
      <c r="K154" s="35"/>
      <c r="L154" s="153"/>
      <c r="M154" s="35"/>
      <c r="N154" s="35"/>
    </row>
    <row r="155" spans="7:14" x14ac:dyDescent="0.2">
      <c r="G155" s="35"/>
      <c r="H155" s="35"/>
      <c r="I155" s="153"/>
      <c r="J155" s="35"/>
      <c r="K155" s="35"/>
      <c r="L155" s="153"/>
      <c r="M155" s="35"/>
      <c r="N155" s="35"/>
    </row>
    <row r="156" spans="7:14" x14ac:dyDescent="0.2">
      <c r="G156" s="35"/>
      <c r="H156" s="35"/>
      <c r="I156" s="153"/>
      <c r="J156" s="35"/>
      <c r="K156" s="35"/>
      <c r="L156" s="153"/>
      <c r="M156" s="35"/>
      <c r="N156" s="35"/>
    </row>
    <row r="157" spans="7:14" x14ac:dyDescent="0.2">
      <c r="G157" s="35"/>
      <c r="H157" s="35"/>
      <c r="I157" s="153"/>
      <c r="J157" s="35"/>
      <c r="K157" s="35"/>
      <c r="L157" s="153"/>
      <c r="M157" s="35"/>
      <c r="N157" s="35"/>
    </row>
    <row r="158" spans="7:14" x14ac:dyDescent="0.2">
      <c r="G158" s="35"/>
      <c r="H158" s="35"/>
      <c r="I158" s="153"/>
      <c r="J158" s="35"/>
      <c r="K158" s="35"/>
      <c r="L158" s="153"/>
      <c r="M158" s="35"/>
      <c r="N158" s="35"/>
    </row>
    <row r="159" spans="7:14" x14ac:dyDescent="0.2">
      <c r="G159" s="35"/>
      <c r="H159" s="35"/>
      <c r="I159" s="153"/>
      <c r="J159" s="35"/>
      <c r="K159" s="35"/>
      <c r="L159" s="153"/>
      <c r="M159" s="35"/>
      <c r="N159" s="35"/>
    </row>
    <row r="160" spans="7:14" x14ac:dyDescent="0.2">
      <c r="G160" s="35"/>
      <c r="H160" s="35"/>
      <c r="I160" s="153"/>
      <c r="J160" s="35"/>
      <c r="K160" s="35"/>
      <c r="L160" s="153"/>
      <c r="M160" s="35"/>
      <c r="N160" s="35"/>
    </row>
    <row r="161" spans="7:14" x14ac:dyDescent="0.2">
      <c r="G161" s="35"/>
      <c r="H161" s="35"/>
      <c r="I161" s="153"/>
      <c r="J161" s="35"/>
      <c r="K161" s="35"/>
      <c r="L161" s="153"/>
      <c r="M161" s="35"/>
      <c r="N161" s="35"/>
    </row>
    <row r="162" spans="7:14" x14ac:dyDescent="0.2">
      <c r="G162" s="35"/>
      <c r="H162" s="35"/>
      <c r="I162" s="153"/>
      <c r="J162" s="35"/>
      <c r="K162" s="35"/>
      <c r="L162" s="153"/>
      <c r="M162" s="35"/>
      <c r="N162" s="35"/>
    </row>
    <row r="163" spans="7:14" x14ac:dyDescent="0.2">
      <c r="G163" s="35"/>
      <c r="H163" s="35"/>
      <c r="I163" s="153"/>
      <c r="J163" s="35"/>
      <c r="K163" s="35"/>
      <c r="L163" s="153"/>
      <c r="M163" s="35"/>
      <c r="N163" s="35"/>
    </row>
    <row r="164" spans="7:14" x14ac:dyDescent="0.2">
      <c r="G164" s="35"/>
      <c r="H164" s="35"/>
      <c r="I164" s="153"/>
      <c r="J164" s="35"/>
      <c r="K164" s="35"/>
      <c r="L164" s="153"/>
      <c r="M164" s="35"/>
      <c r="N164" s="35"/>
    </row>
    <row r="165" spans="7:14" x14ac:dyDescent="0.2">
      <c r="G165" s="35"/>
      <c r="H165" s="35"/>
      <c r="I165" s="153"/>
      <c r="J165" s="35"/>
      <c r="K165" s="35"/>
      <c r="L165" s="153"/>
      <c r="M165" s="35"/>
      <c r="N165" s="35"/>
    </row>
    <row r="166" spans="7:14" x14ac:dyDescent="0.2">
      <c r="G166" s="35"/>
      <c r="H166" s="35"/>
      <c r="I166" s="153"/>
      <c r="J166" s="35"/>
      <c r="K166" s="35"/>
      <c r="L166" s="153"/>
      <c r="M166" s="35"/>
      <c r="N166" s="35"/>
    </row>
    <row r="167" spans="7:14" x14ac:dyDescent="0.2">
      <c r="G167" s="35"/>
      <c r="H167" s="35"/>
      <c r="I167" s="153"/>
      <c r="J167" s="35"/>
      <c r="K167" s="35"/>
      <c r="L167" s="153"/>
      <c r="M167" s="35"/>
      <c r="N167" s="35"/>
    </row>
    <row r="168" spans="7:14" x14ac:dyDescent="0.2">
      <c r="G168" s="35"/>
      <c r="H168" s="35"/>
      <c r="I168" s="153"/>
      <c r="J168" s="35"/>
      <c r="K168" s="35"/>
      <c r="L168" s="153"/>
      <c r="M168" s="35"/>
      <c r="N168" s="35"/>
    </row>
    <row r="169" spans="7:14" x14ac:dyDescent="0.2">
      <c r="G169" s="35"/>
      <c r="H169" s="35"/>
      <c r="I169" s="153"/>
      <c r="J169" s="35"/>
      <c r="K169" s="35"/>
      <c r="L169" s="153"/>
      <c r="M169" s="35"/>
      <c r="N169" s="35"/>
    </row>
    <row r="170" spans="7:14" x14ac:dyDescent="0.2">
      <c r="G170" s="35"/>
      <c r="H170" s="35"/>
      <c r="I170" s="153"/>
      <c r="J170" s="35"/>
      <c r="K170" s="35"/>
      <c r="L170" s="153"/>
      <c r="M170" s="35"/>
      <c r="N170" s="35"/>
    </row>
    <row r="171" spans="7:14" x14ac:dyDescent="0.2">
      <c r="G171" s="35"/>
      <c r="H171" s="35"/>
      <c r="I171" s="153"/>
      <c r="J171" s="35"/>
      <c r="K171" s="35"/>
      <c r="L171" s="153"/>
      <c r="M171" s="35"/>
      <c r="N171" s="35"/>
    </row>
    <row r="172" spans="7:14" x14ac:dyDescent="0.2">
      <c r="G172" s="35"/>
      <c r="H172" s="35"/>
      <c r="I172" s="153"/>
      <c r="J172" s="35"/>
      <c r="K172" s="35"/>
      <c r="L172" s="153"/>
      <c r="M172" s="35"/>
      <c r="N172" s="35"/>
    </row>
    <row r="173" spans="7:14" x14ac:dyDescent="0.2">
      <c r="G173" s="35"/>
      <c r="H173" s="35"/>
      <c r="I173" s="153"/>
      <c r="J173" s="35"/>
      <c r="K173" s="35"/>
      <c r="L173" s="153"/>
      <c r="M173" s="35"/>
      <c r="N173" s="35"/>
    </row>
    <row r="174" spans="7:14" x14ac:dyDescent="0.2">
      <c r="G174" s="35"/>
      <c r="H174" s="35"/>
      <c r="I174" s="153"/>
      <c r="J174" s="35"/>
      <c r="K174" s="35"/>
      <c r="L174" s="153"/>
      <c r="M174" s="35"/>
      <c r="N174" s="35"/>
    </row>
    <row r="175" spans="7:14" x14ac:dyDescent="0.2">
      <c r="G175" s="35"/>
      <c r="H175" s="35"/>
      <c r="I175" s="153"/>
      <c r="J175" s="35"/>
      <c r="K175" s="35"/>
      <c r="L175" s="153"/>
      <c r="M175" s="35"/>
      <c r="N175" s="35"/>
    </row>
    <row r="176" spans="7:14" x14ac:dyDescent="0.2">
      <c r="G176" s="35"/>
      <c r="H176" s="35"/>
      <c r="I176" s="153"/>
      <c r="J176" s="35"/>
      <c r="K176" s="35"/>
      <c r="L176" s="153"/>
      <c r="M176" s="35"/>
      <c r="N176" s="35"/>
    </row>
    <row r="177" spans="7:14" x14ac:dyDescent="0.2">
      <c r="G177" s="35"/>
      <c r="H177" s="35"/>
      <c r="I177" s="153"/>
      <c r="J177" s="35"/>
      <c r="K177" s="35"/>
      <c r="L177" s="153"/>
      <c r="M177" s="35"/>
      <c r="N177" s="35"/>
    </row>
  </sheetData>
  <mergeCells count="12">
    <mergeCell ref="H2:I2"/>
    <mergeCell ref="K2:L2"/>
    <mergeCell ref="M2:O2"/>
    <mergeCell ref="A1:O1"/>
    <mergeCell ref="A5:E5"/>
    <mergeCell ref="F5:F14"/>
    <mergeCell ref="A2:A3"/>
    <mergeCell ref="B2:B3"/>
    <mergeCell ref="C2:C3"/>
    <mergeCell ref="D2:D3"/>
    <mergeCell ref="E2:E3"/>
    <mergeCell ref="F2:F3"/>
  </mergeCells>
  <phoneticPr fontId="0" type="noConversion"/>
  <printOptions horizontalCentered="1" gridLines="1"/>
  <pageMargins left="0.43307086614173201" right="0" top="0.45" bottom="0.39370078740157499" header="0" footer="0.19"/>
  <pageSetup scale="75" firstPageNumber="77" pageOrder="overThenDown" orientation="landscape" useFirstPageNumber="1" r:id="rId1"/>
  <headerFooter alignWithMargins="0">
    <oddHeader xml:space="preserve">&amp;L
&amp;R
</oddHeader>
    <oddFooter xml:space="preserve">&amp;C&amp;P&amp;R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Summary of Internal Loans</vt:lpstr>
      <vt:lpstr>Market_Loan-Bearing</vt:lpstr>
      <vt:lpstr>Market_Loan-Not Bearing</vt:lpstr>
      <vt:lpstr>Zamindari Bond</vt:lpstr>
      <vt:lpstr>Summary-SamllSaving(NSSF)</vt:lpstr>
      <vt:lpstr>Final Yearwise Summ of NABARD</vt:lpstr>
      <vt:lpstr>Final Power Bond</vt:lpstr>
      <vt:lpstr>'Final Power Bond'!Print_Area</vt:lpstr>
      <vt:lpstr>'Final Yearwise Summ of NABARD'!Print_Area</vt:lpstr>
      <vt:lpstr>'Market_Loan-Not Bearing'!Print_Area</vt:lpstr>
      <vt:lpstr>'Summary of Internal Loans'!Print_Area</vt:lpstr>
      <vt:lpstr>'Zamindari Bond'!Print_Area</vt:lpstr>
      <vt:lpstr>'Final Power Bond'!Print_Titles</vt:lpstr>
      <vt:lpstr>'Final Yearwise Summ of NABARD'!Print_Titles</vt:lpstr>
      <vt:lpstr>'Market_Loan-Bearing'!Print_Titles</vt:lpstr>
      <vt:lpstr>'Summary of Internal Loans'!Print_Titles</vt:lpstr>
    </vt:vector>
  </TitlesOfParts>
  <Company>Microsoft Coporation.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BUDGET</dc:creator>
  <cp:lastModifiedBy>Somesh</cp:lastModifiedBy>
  <cp:lastPrinted>2015-02-13T06:00:13Z</cp:lastPrinted>
  <dcterms:created xsi:type="dcterms:W3CDTF">2007-02-05T07:31:16Z</dcterms:created>
  <dcterms:modified xsi:type="dcterms:W3CDTF">2015-03-12T12:32:13Z</dcterms:modified>
</cp:coreProperties>
</file>